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0" windowWidth="15855" windowHeight="11685" tabRatio="638" firstSheet="1" activeTab="2"/>
  </bookViews>
  <sheets>
    <sheet name="change log" sheetId="1" state="hidden" r:id="rId1"/>
    <sheet name="914 901 Gear Ratio Workbook" sheetId="2" r:id="rId2"/>
    <sheet name="901 Gear Ratio Model" sheetId="3" r:id="rId3"/>
    <sheet name="901 Gear Ratios &amp; RPM-MPH Table" sheetId="4" r:id="rId4"/>
    <sheet name="901 3rd &amp; 4th-5th &quot;FLIP&quot; Chart" sheetId="5" r:id="rId5"/>
    <sheet name="901 Transaxle Codes &amp; Gear Sets" sheetId="6" r:id="rId6"/>
    <sheet name="Sheet3" sheetId="7" state="hidden" r:id="rId7"/>
  </sheets>
  <definedNames>
    <definedName name="_xlnm.Print_Area" localSheetId="2">'Sheet3'!$A$16:$D$49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20" authorId="0">
      <text>
        <r>
          <rPr>
            <sz val="8"/>
            <rFont val="Tahoma"/>
            <family val="2"/>
          </rPr>
          <t xml:space="preserve">Enter your tire diameter in inches.
</t>
        </r>
      </text>
    </comment>
    <comment ref="C23" authorId="0">
      <text>
        <r>
          <rPr>
            <sz val="8"/>
            <rFont val="Tahoma"/>
            <family val="2"/>
          </rPr>
          <t xml:space="preserve">Enter your RPM redline
</t>
        </r>
      </text>
    </comment>
    <comment ref="H23" authorId="0">
      <text>
        <r>
          <rPr>
            <sz val="8"/>
            <rFont val="Tahoma"/>
            <family val="2"/>
          </rPr>
          <t>Enter the % of Redline you shift at for 1st gear</t>
        </r>
      </text>
    </comment>
    <comment ref="H24" authorId="0">
      <text>
        <r>
          <rPr>
            <sz val="8"/>
            <rFont val="Tahoma"/>
            <family val="2"/>
          </rPr>
          <t>Enter the % of Redline you shift at for2nd gear</t>
        </r>
      </text>
    </comment>
    <comment ref="J154" authorId="0">
      <text>
        <r>
          <rPr>
            <b/>
            <sz val="8"/>
            <rFont val="Tahoma"/>
            <family val="2"/>
          </rPr>
          <t>MPH=((rpm/ratio/ring&amp;pinon*60)*tire circumference)/inches/mile</t>
        </r>
        <r>
          <rPr>
            <sz val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2"/>
          </rPr>
          <t>Enter your Chart title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2"/>
          </rPr>
          <t>MPH=((rpm/ratio/ring&amp;pinon*60)*tire circumference)/inches/mile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<sst xmlns="http://schemas.openxmlformats.org/spreadsheetml/2006/main" count="778" uniqueCount="187">
  <si>
    <t>A</t>
  </si>
  <si>
    <t>:</t>
  </si>
  <si>
    <t>G</t>
  </si>
  <si>
    <t>O</t>
  </si>
  <si>
    <t>V</t>
  </si>
  <si>
    <t>ZA</t>
  </si>
  <si>
    <t>RING&amp;PINION</t>
  </si>
  <si>
    <t>TIRE DIAMETER (INCHES)</t>
  </si>
  <si>
    <t>Inches/Mile</t>
  </si>
  <si>
    <t>1st GEAR</t>
  </si>
  <si>
    <t>2nd GEAR</t>
  </si>
  <si>
    <t>3rd GEAR</t>
  </si>
  <si>
    <t>4th GEAR</t>
  </si>
  <si>
    <t>5th GEAR</t>
  </si>
  <si>
    <t>Redline</t>
  </si>
  <si>
    <t>Entry Point</t>
  </si>
  <si>
    <t>Engine RPM</t>
  </si>
  <si>
    <t>Gear Ratio</t>
  </si>
  <si>
    <t>Ring &amp; Pinon</t>
  </si>
  <si>
    <t>Tire RPM</t>
  </si>
  <si>
    <t>Tire RPH</t>
  </si>
  <si>
    <t>MPH</t>
  </si>
  <si>
    <t xml:space="preserve"> </t>
  </si>
  <si>
    <t>Q</t>
  </si>
  <si>
    <t>901 Gear Sets</t>
  </si>
  <si>
    <t>First</t>
  </si>
  <si>
    <t>AA</t>
  </si>
  <si>
    <t>B</t>
  </si>
  <si>
    <t>C</t>
  </si>
  <si>
    <t>Second</t>
  </si>
  <si>
    <t>Third</t>
  </si>
  <si>
    <t>H</t>
  </si>
  <si>
    <t>I</t>
  </si>
  <si>
    <t>J</t>
  </si>
  <si>
    <t>K</t>
  </si>
  <si>
    <t>L</t>
  </si>
  <si>
    <t>M</t>
  </si>
  <si>
    <t>N</t>
  </si>
  <si>
    <t>P</t>
  </si>
  <si>
    <t>R</t>
  </si>
  <si>
    <t>Fourth/Fifth</t>
  </si>
  <si>
    <t>PA</t>
  </si>
  <si>
    <t>S</t>
  </si>
  <si>
    <t>T</t>
  </si>
  <si>
    <t>U</t>
  </si>
  <si>
    <t>W</t>
  </si>
  <si>
    <t>X</t>
  </si>
  <si>
    <t>Y</t>
  </si>
  <si>
    <t>Z</t>
  </si>
  <si>
    <t>ZD</t>
  </si>
  <si>
    <t>901 Gears</t>
  </si>
  <si>
    <t>Input</t>
  </si>
  <si>
    <t>Output</t>
  </si>
  <si>
    <t>D</t>
  </si>
  <si>
    <t>E</t>
  </si>
  <si>
    <t>F</t>
  </si>
  <si>
    <t>GA</t>
  </si>
  <si>
    <t>HA</t>
  </si>
  <si>
    <t>KA</t>
  </si>
  <si>
    <t>(rpm/gear ration/ring&amp;pinon)</t>
  </si>
  <si>
    <t>tire rpm=</t>
  </si>
  <si>
    <t>tire rph=</t>
  </si>
  <si>
    <t>tire rpm*60</t>
  </si>
  <si>
    <t>tire rph * tire inchs/rev</t>
  </si>
  <si>
    <t>tire inches/hr=</t>
  </si>
  <si>
    <t>miles/hr=</t>
  </si>
  <si>
    <t>inchs/hr / inches/mile</t>
  </si>
  <si>
    <t>inches/hr =</t>
  </si>
  <si>
    <t>miles/hr * inches/mile</t>
  </si>
  <si>
    <t>rpm = tire rpm * gear ratio * ring &amp; pinion</t>
  </si>
  <si>
    <t>tire rpm =</t>
  </si>
  <si>
    <t>inchs/hr/tire inchs/rev / 60</t>
  </si>
  <si>
    <t>STOCK RING&amp;PINION</t>
  </si>
  <si>
    <t>Tire Circumference</t>
  </si>
  <si>
    <t>Tire Inches/HR</t>
  </si>
  <si>
    <t>chart title:</t>
  </si>
  <si>
    <t>914-4 901 Stock Gear Ratios</t>
  </si>
  <si>
    <t>904 mainshaft</t>
  </si>
  <si>
    <t>GB</t>
  </si>
  <si>
    <t>Mainshaft w/gear</t>
  </si>
  <si>
    <t>C-</t>
  </si>
  <si>
    <t>CA</t>
  </si>
  <si>
    <t>HB</t>
  </si>
  <si>
    <t>blue</t>
  </si>
  <si>
    <t>1st gear shiftpoint</t>
  </si>
  <si>
    <t>2nd gear shiftpoint</t>
  </si>
  <si>
    <t>of Redline =</t>
  </si>
  <si>
    <t>" Circumference</t>
  </si>
  <si>
    <t>" Tire Circumference</t>
  </si>
  <si>
    <t>SHIFT POINTS</t>
  </si>
  <si>
    <t>Shift Point</t>
  </si>
  <si>
    <t>Fill in your info in the</t>
  </si>
  <si>
    <t>cells.  Top graphs show stock gearing for your 'baseline', Bottom graphs reflect your 'what if' gear set.</t>
  </si>
  <si>
    <t>GA*</t>
  </si>
  <si>
    <t>C*</t>
  </si>
  <si>
    <t>*904 mainshaft</t>
  </si>
  <si>
    <t>D*</t>
  </si>
  <si>
    <t>E*</t>
  </si>
  <si>
    <t>F*</t>
  </si>
  <si>
    <t>G*</t>
  </si>
  <si>
    <t>G/GA*</t>
  </si>
  <si>
    <t>GB/H*</t>
  </si>
  <si>
    <t>H*</t>
  </si>
  <si>
    <t>HA*</t>
  </si>
  <si>
    <t>I*</t>
  </si>
  <si>
    <t>E(2)*</t>
  </si>
  <si>
    <t>Get tire diameter here</t>
  </si>
  <si>
    <t>"</t>
  </si>
  <si>
    <t>RPM</t>
  </si>
  <si>
    <t>Stock 1st</t>
  </si>
  <si>
    <t>Stock 2nd</t>
  </si>
  <si>
    <t>Stock 3rd</t>
  </si>
  <si>
    <t>Stock 4th</t>
  </si>
  <si>
    <t>Stock 5th</t>
  </si>
  <si>
    <t>l</t>
  </si>
  <si>
    <t>XA</t>
  </si>
  <si>
    <t>ZB</t>
  </si>
  <si>
    <t>901  3rd  &amp;  4th/5th  "FLIP CHART"</t>
  </si>
  <si>
    <t>see 'flip chart'</t>
  </si>
  <si>
    <t>914-4 901 Stock Gear Ratios -- Your Tire Diameter -- Your Shift Points</t>
  </si>
  <si>
    <t>901/06</t>
  </si>
  <si>
    <t>901/07</t>
  </si>
  <si>
    <t>901/75</t>
  </si>
  <si>
    <t>901/76</t>
  </si>
  <si>
    <t>901/77</t>
  </si>
  <si>
    <t>901/78</t>
  </si>
  <si>
    <t>901/79</t>
  </si>
  <si>
    <t>901/12</t>
  </si>
  <si>
    <t>901/13</t>
  </si>
  <si>
    <t>901/80</t>
  </si>
  <si>
    <t>901/81</t>
  </si>
  <si>
    <t>901/82</t>
  </si>
  <si>
    <t>901/83</t>
  </si>
  <si>
    <t>901/84</t>
  </si>
  <si>
    <t>911/00</t>
  </si>
  <si>
    <t>911/01</t>
  </si>
  <si>
    <t>911/80</t>
  </si>
  <si>
    <t>911/81</t>
  </si>
  <si>
    <t>911/82</t>
  </si>
  <si>
    <t>911/83</t>
  </si>
  <si>
    <t>911/84</t>
  </si>
  <si>
    <t>914/11</t>
  </si>
  <si>
    <t>914/12</t>
  </si>
  <si>
    <t>1st</t>
  </si>
  <si>
    <t>2nd</t>
  </si>
  <si>
    <t>3rd</t>
  </si>
  <si>
    <t>4th</t>
  </si>
  <si>
    <t>5th</t>
  </si>
  <si>
    <t>MPH=((rpm/ratio/ring&amp;pinon*60)*tire circumference)/inches/mile</t>
  </si>
  <si>
    <t>Inches/mile</t>
  </si>
  <si>
    <t>901 Gear Sets  &amp;  RPM / MPH table</t>
  </si>
  <si>
    <t>Transaxle Code</t>
  </si>
  <si>
    <r>
      <rPr>
        <b/>
        <sz val="12"/>
        <color indexed="9"/>
        <rFont val="Geneva"/>
        <family val="0"/>
      </rPr>
      <t>901 Gear Ratio Model</t>
    </r>
    <r>
      <rPr>
        <sz val="12"/>
        <color indexed="9"/>
        <rFont val="Geneva"/>
        <family val="0"/>
      </rPr>
      <t xml:space="preserve"> </t>
    </r>
  </si>
  <si>
    <t>901 Transaxle Codes &amp; Gear Sets</t>
  </si>
  <si>
    <t>901  3rd  &amp;  4th-5th  "FLIP CHART"</t>
  </si>
  <si>
    <t>Example Road Course Setup</t>
  </si>
  <si>
    <r>
      <rPr>
        <b/>
        <sz val="12"/>
        <color indexed="9"/>
        <rFont val="Geneva"/>
        <family val="0"/>
      </rPr>
      <t xml:space="preserve">914 </t>
    </r>
    <r>
      <rPr>
        <b/>
        <sz val="12"/>
        <color indexed="9"/>
        <rFont val="Geneva"/>
        <family val="0"/>
      </rPr>
      <t>901 Gear Ratio Workbook</t>
    </r>
  </si>
  <si>
    <t>This spreadsheet has four worksheets (Tabs):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</si>
  <si>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2 - </t>
    </r>
    <r>
      <rPr>
        <b/>
        <u val="single"/>
        <sz val="11"/>
        <rFont val="Calibri"/>
        <family val="2"/>
      </rPr>
      <t>901 Gear Ratios &amp; RPM-MPH table</t>
    </r>
    <r>
      <rPr>
        <sz val="11"/>
        <rFont val="Calibri"/>
        <family val="2"/>
      </rPr>
      <t xml:space="preserve"> – Table of all 901 gear ratios along with a RPM/MPH </t>
    </r>
  </si>
  <si>
    <t>table to assist with gear selections.  RPM/MPH is based on your tire diameter entered on Tab 1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</si>
  <si>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3 – </t>
    </r>
    <r>
      <rPr>
        <b/>
        <u val="single"/>
        <sz val="11"/>
        <rFont val="Calibri"/>
        <family val="2"/>
      </rPr>
      <t>901 3</t>
    </r>
    <r>
      <rPr>
        <b/>
        <u val="single"/>
        <vertAlign val="superscript"/>
        <sz val="11"/>
        <rFont val="Calibri"/>
        <family val="2"/>
      </rPr>
      <t>rd</t>
    </r>
    <r>
      <rPr>
        <b/>
        <u val="single"/>
        <sz val="11"/>
        <rFont val="Calibri"/>
        <family val="2"/>
      </rPr>
      <t xml:space="preserve"> &amp; 4</t>
    </r>
    <r>
      <rPr>
        <b/>
        <u val="single"/>
        <vertAlign val="superscript"/>
        <sz val="11"/>
        <rFont val="Calibri"/>
        <family val="2"/>
      </rPr>
      <t>th</t>
    </r>
    <r>
      <rPr>
        <b/>
        <u val="single"/>
        <sz val="11"/>
        <rFont val="Calibri"/>
        <family val="2"/>
      </rPr>
      <t>-5</t>
    </r>
    <r>
      <rPr>
        <b/>
        <u val="single"/>
        <vertAlign val="superscript"/>
        <sz val="11"/>
        <rFont val="Calibri"/>
        <family val="2"/>
      </rPr>
      <t>th</t>
    </r>
    <r>
      <rPr>
        <b/>
        <u val="single"/>
        <sz val="11"/>
        <rFont val="Calibri"/>
        <family val="2"/>
      </rPr>
      <t xml:space="preserve"> “FLIP” Chart</t>
    </r>
    <r>
      <rPr>
        <sz val="11"/>
        <rFont val="Calibri"/>
        <family val="2"/>
      </rPr>
      <t xml:space="preserve"> – Some 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gears can be used as 4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>/5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gears and vice-a-versa. </t>
    </r>
  </si>
  <si>
    <t xml:space="preserve"> This table shows which gears will interchange.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</si>
  <si>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4 – </t>
    </r>
    <r>
      <rPr>
        <b/>
        <u val="single"/>
        <sz val="11"/>
        <rFont val="Calibri"/>
        <family val="2"/>
      </rPr>
      <t>901 Transaxle Codes &amp; Gear sets</t>
    </r>
    <r>
      <rPr>
        <sz val="11"/>
        <rFont val="Calibri"/>
        <family val="2"/>
      </rPr>
      <t xml:space="preserve"> – Different model 901s had different stock gear sets.  </t>
    </r>
  </si>
  <si>
    <t>This table helps you decode which 901 you have or are looking to buy.</t>
  </si>
  <si>
    <t>the user to enter their tire diameter, redline and gear selections to do ‘what if’ models.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</si>
  <si>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1 - </t>
    </r>
    <r>
      <rPr>
        <b/>
        <u val="single"/>
        <sz val="11"/>
        <rFont val="Calibri"/>
        <family val="2"/>
      </rPr>
      <t>901 Gear Ratio Model</t>
    </r>
    <r>
      <rPr>
        <sz val="11"/>
        <rFont val="Calibri"/>
        <family val="2"/>
      </rPr>
      <t xml:space="preserve"> – Provides graphs of the stock gearing as a baseline and allows </t>
    </r>
  </si>
  <si>
    <t xml:space="preserve">for each gear.    </t>
  </si>
  <si>
    <t>and helps you do "what if"</t>
  </si>
  <si>
    <r>
      <t xml:space="preserve">The </t>
    </r>
    <r>
      <rPr>
        <b/>
        <i/>
        <sz val="11"/>
        <rFont val="Calibri"/>
        <family val="2"/>
      </rPr>
      <t xml:space="preserve">914 901 Gear Ratio Workbook </t>
    </r>
    <r>
      <rPr>
        <sz val="11"/>
        <rFont val="Calibri"/>
        <family val="2"/>
      </rPr>
      <t xml:space="preserve">augments the </t>
    </r>
  </si>
  <si>
    <t>914 901 Re-gearing Tech Article</t>
  </si>
  <si>
    <t xml:space="preserve">models to see how changing gears affects your RPM at different speeds as well as your shift point entry/exit RPMs  </t>
  </si>
  <si>
    <t>Note: some gears have letters stamped on them that do not relate to the ratio.  Always count the teeth, and compare to this table</t>
  </si>
  <si>
    <r>
      <t xml:space="preserve">CUSTOM GEAR  RATIOS </t>
    </r>
    <r>
      <rPr>
        <sz val="9"/>
        <color indexed="9"/>
        <rFont val="Geneva"/>
        <family val="0"/>
      </rPr>
      <t>(click on gear 'code' in blue cells &amp; use drop down menus to select each gear,  gear tables are below for reference)</t>
    </r>
  </si>
  <si>
    <t>Note: Codes are stamped on the bottom of the case</t>
  </si>
  <si>
    <t>H-Flip</t>
  </si>
  <si>
    <t>added 914/12 to gear code tab (914 901 side shift)</t>
  </si>
  <si>
    <t>tail shifter</t>
  </si>
  <si>
    <t>side shifter</t>
  </si>
  <si>
    <t>K-Flip</t>
  </si>
  <si>
    <t>Third Gear Sets</t>
  </si>
  <si>
    <t>Forth/Fifth Gear Sets</t>
  </si>
  <si>
    <t>J-Flip</t>
  </si>
  <si>
    <t>I-Flip</t>
  </si>
  <si>
    <t>HB-Flip</t>
  </si>
  <si>
    <t>05/17/08 - 914 901 Gear Ratio Sheet - Greg Braun (race914 )</t>
  </si>
  <si>
    <t>added 'flipped' H 3rd gear to flip chart &amp; workbook (need to complete other 'overdrive' flips for V8 guys</t>
  </si>
  <si>
    <t>added 'flipped' ratios HB,I, J, K for additional 5th overdrives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</si>
</sst>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Geneva"/>
      <family val="0"/>
    </font>
    <font>
      <sz val="9"/>
      <name val="Geneva"/>
      <family val="0"/>
    </font>
    <font>
      <sz val="8"/>
      <name val="Tahoma"/>
      <family val="2"/>
    </font>
    <font>
      <i/>
      <sz val="8"/>
      <name val="Geneva"/>
      <family val="0"/>
    </font>
    <font>
      <sz val="8"/>
      <name val="Geneva"/>
      <family val="0"/>
    </font>
    <font>
      <sz val="9"/>
      <color indexed="9"/>
      <name val="Geneva"/>
      <family val="0"/>
    </font>
    <font>
      <b/>
      <sz val="8"/>
      <name val="Tahoma"/>
      <family val="2"/>
    </font>
    <font>
      <u val="single"/>
      <sz val="8"/>
      <color indexed="12"/>
      <name val="Geneva"/>
      <family val="0"/>
    </font>
    <font>
      <sz val="10"/>
      <name val="Wingdings"/>
      <family val="0"/>
    </font>
    <font>
      <sz val="12"/>
      <color indexed="9"/>
      <name val="Geneva"/>
      <family val="0"/>
    </font>
    <font>
      <b/>
      <sz val="12"/>
      <color indexed="9"/>
      <name val="Geneva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u val="single"/>
      <sz val="11"/>
      <name val="Calibri"/>
      <family val="2"/>
    </font>
    <font>
      <b/>
      <u val="single"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sz val="10"/>
      <color indexed="8"/>
      <name val="Geneva"/>
      <family val="0"/>
    </font>
    <font>
      <i/>
      <sz val="10"/>
      <color indexed="63"/>
      <name val="Geneva"/>
      <family val="0"/>
    </font>
    <font>
      <sz val="10"/>
      <color indexed="63"/>
      <name val="Geneva"/>
      <family val="0"/>
    </font>
    <font>
      <b/>
      <sz val="11"/>
      <color indexed="9"/>
      <name val="Geneva"/>
      <family val="0"/>
    </font>
    <font>
      <b/>
      <sz val="10"/>
      <color indexed="8"/>
      <name val="Geneva"/>
      <family val="0"/>
    </font>
    <font>
      <sz val="12"/>
      <color indexed="8"/>
      <name val="Geneva"/>
      <family val="0"/>
    </font>
    <font>
      <i/>
      <sz val="8"/>
      <color indexed="63"/>
      <name val="Geneva"/>
      <family val="0"/>
    </font>
    <font>
      <sz val="11"/>
      <color indexed="8"/>
      <name val="Geneva"/>
      <family val="0"/>
    </font>
    <font>
      <b/>
      <i/>
      <sz val="11"/>
      <color indexed="9"/>
      <name val="Geneva"/>
      <family val="0"/>
    </font>
    <font>
      <sz val="9"/>
      <color indexed="10"/>
      <name val="Genev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eneva"/>
      <family val="0"/>
    </font>
    <font>
      <b/>
      <sz val="10"/>
      <color theme="0"/>
      <name val="Geneva"/>
      <family val="0"/>
    </font>
    <font>
      <sz val="10"/>
      <color theme="1"/>
      <name val="Geneva"/>
      <family val="0"/>
    </font>
    <font>
      <i/>
      <sz val="10"/>
      <color theme="1" tint="0.34999001026153564"/>
      <name val="Geneva"/>
      <family val="0"/>
    </font>
    <font>
      <sz val="10"/>
      <color theme="1" tint="0.34999001026153564"/>
      <name val="Geneva"/>
      <family val="0"/>
    </font>
    <font>
      <sz val="12"/>
      <color theme="0"/>
      <name val="Geneva"/>
      <family val="0"/>
    </font>
    <font>
      <b/>
      <sz val="11"/>
      <color theme="0"/>
      <name val="Geneva"/>
      <family val="0"/>
    </font>
    <font>
      <b/>
      <sz val="12"/>
      <color theme="0"/>
      <name val="Geneva"/>
      <family val="0"/>
    </font>
    <font>
      <b/>
      <sz val="10"/>
      <color theme="1"/>
      <name val="Geneva"/>
      <family val="0"/>
    </font>
    <font>
      <sz val="12"/>
      <color theme="1"/>
      <name val="Geneva"/>
      <family val="0"/>
    </font>
    <font>
      <i/>
      <sz val="8"/>
      <color theme="1" tint="0.34999001026153564"/>
      <name val="Geneva"/>
      <family val="0"/>
    </font>
    <font>
      <sz val="11"/>
      <color theme="1"/>
      <name val="Geneva"/>
      <family val="0"/>
    </font>
    <font>
      <b/>
      <i/>
      <sz val="11"/>
      <color theme="0"/>
      <name val="Geneva"/>
      <family val="0"/>
    </font>
    <font>
      <sz val="9"/>
      <color rgb="FFFF0000"/>
      <name val="Geneva"/>
      <family val="0"/>
    </font>
    <font>
      <b/>
      <sz val="8"/>
      <name val="Genev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  <fill>
      <patternFill patternType="gray0625">
        <fgColor theme="3" tint="0.3999499976634979"/>
        <bgColor theme="0" tint="-0.349979996681213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14995999634265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1" fillId="34" borderId="14" xfId="0" applyFont="1" applyFill="1" applyBorder="1" applyAlignment="1">
      <alignment horizontal="centerContinuous"/>
    </xf>
    <xf numFmtId="0" fontId="0" fillId="34" borderId="15" xfId="0" applyFill="1" applyBorder="1" applyAlignment="1">
      <alignment horizontal="centerContinuous"/>
    </xf>
    <xf numFmtId="0" fontId="0" fillId="34" borderId="16" xfId="0" applyFill="1" applyBorder="1" applyAlignment="1">
      <alignment horizontal="center"/>
    </xf>
    <xf numFmtId="20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0" fontId="1" fillId="35" borderId="14" xfId="0" applyFont="1" applyFill="1" applyBorder="1" applyAlignment="1">
      <alignment horizontal="centerContinuous"/>
    </xf>
    <xf numFmtId="0" fontId="0" fillId="35" borderId="15" xfId="0" applyFill="1" applyBorder="1" applyAlignment="1">
      <alignment horizontal="centerContinuous"/>
    </xf>
    <xf numFmtId="0" fontId="0" fillId="35" borderId="16" xfId="0" applyFill="1" applyBorder="1" applyAlignment="1">
      <alignment horizontal="center"/>
    </xf>
    <xf numFmtId="20" fontId="0" fillId="35" borderId="17" xfId="0" applyNumberFormat="1" applyFill="1" applyBorder="1" applyAlignment="1">
      <alignment horizontal="center"/>
    </xf>
    <xf numFmtId="1" fontId="0" fillId="35" borderId="18" xfId="0" applyNumberForma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1" fillId="36" borderId="14" xfId="0" applyFont="1" applyFill="1" applyBorder="1" applyAlignment="1">
      <alignment horizontal="centerContinuous"/>
    </xf>
    <xf numFmtId="0" fontId="1" fillId="36" borderId="15" xfId="0" applyFont="1" applyFill="1" applyBorder="1" applyAlignment="1">
      <alignment horizontal="centerContinuous"/>
    </xf>
    <xf numFmtId="0" fontId="0" fillId="36" borderId="16" xfId="0" applyFill="1" applyBorder="1" applyAlignment="1">
      <alignment horizontal="center"/>
    </xf>
    <xf numFmtId="20" fontId="0" fillId="36" borderId="17" xfId="0" applyNumberFormat="1" applyFill="1" applyBorder="1" applyAlignment="1">
      <alignment horizontal="center"/>
    </xf>
    <xf numFmtId="1" fontId="0" fillId="36" borderId="18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1" fontId="0" fillId="36" borderId="20" xfId="0" applyNumberFormat="1" applyFill="1" applyBorder="1" applyAlignment="1">
      <alignment horizontal="center"/>
    </xf>
    <xf numFmtId="1" fontId="0" fillId="36" borderId="21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22" xfId="0" applyFont="1" applyFill="1" applyBorder="1" applyAlignment="1">
      <alignment horizontal="centerContinuous"/>
    </xf>
    <xf numFmtId="0" fontId="0" fillId="37" borderId="23" xfId="0" applyFont="1" applyFill="1" applyBorder="1" applyAlignment="1">
      <alignment horizontal="centerContinuous"/>
    </xf>
    <xf numFmtId="0" fontId="75" fillId="37" borderId="24" xfId="0" applyFont="1" applyFill="1" applyBorder="1" applyAlignment="1">
      <alignment horizontal="centerContinuous"/>
    </xf>
    <xf numFmtId="0" fontId="0" fillId="0" borderId="25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1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75" fillId="38" borderId="0" xfId="0" applyFont="1" applyFill="1" applyBorder="1" applyAlignment="1">
      <alignment/>
    </xf>
    <xf numFmtId="1" fontId="75" fillId="38" borderId="0" xfId="0" applyNumberFormat="1" applyFont="1" applyFill="1" applyBorder="1" applyAlignment="1">
      <alignment horizontal="right"/>
    </xf>
    <xf numFmtId="0" fontId="75" fillId="38" borderId="0" xfId="0" applyFont="1" applyFill="1" applyBorder="1" applyAlignment="1">
      <alignment horizontal="right"/>
    </xf>
    <xf numFmtId="0" fontId="75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76" fillId="38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2" fontId="0" fillId="39" borderId="12" xfId="0" applyNumberForma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" fontId="0" fillId="39" borderId="11" xfId="0" applyNumberFormat="1" applyFill="1" applyBorder="1" applyAlignment="1">
      <alignment horizontal="center"/>
    </xf>
    <xf numFmtId="1" fontId="0" fillId="40" borderId="18" xfId="0" applyNumberForma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1" fontId="0" fillId="40" borderId="20" xfId="0" applyNumberFormat="1" applyFill="1" applyBorder="1" applyAlignment="1">
      <alignment horizontal="center"/>
    </xf>
    <xf numFmtId="1" fontId="0" fillId="40" borderId="21" xfId="0" applyNumberFormat="1" applyFill="1" applyBorder="1" applyAlignment="1">
      <alignment horizontal="center"/>
    </xf>
    <xf numFmtId="2" fontId="0" fillId="40" borderId="18" xfId="0" applyNumberFormat="1" applyFill="1" applyBorder="1" applyAlignment="1">
      <alignment horizontal="center"/>
    </xf>
    <xf numFmtId="2" fontId="0" fillId="40" borderId="19" xfId="0" applyNumberFormat="1" applyFill="1" applyBorder="1" applyAlignment="1">
      <alignment horizontal="center"/>
    </xf>
    <xf numFmtId="2" fontId="0" fillId="40" borderId="20" xfId="0" applyNumberFormat="1" applyFill="1" applyBorder="1" applyAlignment="1">
      <alignment horizontal="center"/>
    </xf>
    <xf numFmtId="2" fontId="0" fillId="40" borderId="21" xfId="0" applyNumberForma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" fontId="0" fillId="40" borderId="16" xfId="0" applyNumberFormat="1" applyFill="1" applyBorder="1" applyAlignment="1">
      <alignment horizontal="center"/>
    </xf>
    <xf numFmtId="1" fontId="0" fillId="40" borderId="17" xfId="0" applyNumberFormat="1" applyFill="1" applyBorder="1" applyAlignment="1">
      <alignment horizontal="center"/>
    </xf>
    <xf numFmtId="0" fontId="1" fillId="40" borderId="14" xfId="0" applyFont="1" applyFill="1" applyBorder="1" applyAlignment="1">
      <alignment horizontal="centerContinuous"/>
    </xf>
    <xf numFmtId="0" fontId="0" fillId="40" borderId="15" xfId="0" applyFill="1" applyBorder="1" applyAlignment="1">
      <alignment horizontal="centerContinuous"/>
    </xf>
    <xf numFmtId="0" fontId="0" fillId="40" borderId="16" xfId="0" applyFill="1" applyBorder="1" applyAlignment="1">
      <alignment horizontal="center"/>
    </xf>
    <xf numFmtId="20" fontId="0" fillId="40" borderId="17" xfId="0" applyNumberFormat="1" applyFill="1" applyBorder="1" applyAlignment="1">
      <alignment horizontal="center"/>
    </xf>
    <xf numFmtId="1" fontId="4" fillId="40" borderId="17" xfId="0" applyNumberFormat="1" applyFont="1" applyFill="1" applyBorder="1" applyAlignment="1">
      <alignment horizontal="center"/>
    </xf>
    <xf numFmtId="1" fontId="0" fillId="41" borderId="18" xfId="0" applyNumberForma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1" fontId="0" fillId="41" borderId="20" xfId="0" applyNumberFormat="1" applyFill="1" applyBorder="1" applyAlignment="1">
      <alignment horizontal="center"/>
    </xf>
    <xf numFmtId="1" fontId="0" fillId="41" borderId="21" xfId="0" applyNumberFormat="1" applyFill="1" applyBorder="1" applyAlignment="1">
      <alignment horizontal="center"/>
    </xf>
    <xf numFmtId="2" fontId="0" fillId="41" borderId="18" xfId="0" applyNumberFormat="1" applyFill="1" applyBorder="1" applyAlignment="1">
      <alignment horizontal="center"/>
    </xf>
    <xf numFmtId="2" fontId="0" fillId="41" borderId="19" xfId="0" applyNumberFormat="1" applyFill="1" applyBorder="1" applyAlignment="1">
      <alignment horizontal="center"/>
    </xf>
    <xf numFmtId="2" fontId="0" fillId="41" borderId="20" xfId="0" applyNumberFormat="1" applyFill="1" applyBorder="1" applyAlignment="1">
      <alignment horizontal="center"/>
    </xf>
    <xf numFmtId="2" fontId="0" fillId="41" borderId="21" xfId="0" applyNumberFormat="1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1" fontId="0" fillId="41" borderId="16" xfId="0" applyNumberFormat="1" applyFill="1" applyBorder="1" applyAlignment="1">
      <alignment horizontal="center"/>
    </xf>
    <xf numFmtId="1" fontId="0" fillId="41" borderId="17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2" fontId="0" fillId="24" borderId="20" xfId="0" applyNumberFormat="1" applyFill="1" applyBorder="1" applyAlignment="1">
      <alignment horizontal="center"/>
    </xf>
    <xf numFmtId="2" fontId="0" fillId="24" borderId="21" xfId="0" applyNumberForma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42" borderId="18" xfId="0" applyNumberFormat="1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1" fontId="0" fillId="42" borderId="20" xfId="0" applyNumberFormat="1" applyFill="1" applyBorder="1" applyAlignment="1">
      <alignment horizontal="center"/>
    </xf>
    <xf numFmtId="1" fontId="0" fillId="42" borderId="21" xfId="0" applyNumberFormat="1" applyFill="1" applyBorder="1" applyAlignment="1">
      <alignment horizontal="center"/>
    </xf>
    <xf numFmtId="2" fontId="0" fillId="42" borderId="18" xfId="0" applyNumberFormat="1" applyFill="1" applyBorder="1" applyAlignment="1">
      <alignment horizontal="center"/>
    </xf>
    <xf numFmtId="2" fontId="0" fillId="42" borderId="19" xfId="0" applyNumberFormat="1" applyFill="1" applyBorder="1" applyAlignment="1">
      <alignment horizontal="center"/>
    </xf>
    <xf numFmtId="2" fontId="0" fillId="42" borderId="20" xfId="0" applyNumberFormat="1" applyFill="1" applyBorder="1" applyAlignment="1">
      <alignment horizontal="center"/>
    </xf>
    <xf numFmtId="2" fontId="0" fillId="42" borderId="21" xfId="0" applyNumberFormat="1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1" fontId="0" fillId="42" borderId="16" xfId="0" applyNumberFormat="1" applyFill="1" applyBorder="1" applyAlignment="1">
      <alignment horizontal="center"/>
    </xf>
    <xf numFmtId="1" fontId="0" fillId="42" borderId="17" xfId="0" applyNumberForma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1" fillId="41" borderId="14" xfId="0" applyFont="1" applyFill="1" applyBorder="1" applyAlignment="1">
      <alignment horizontal="centerContinuous"/>
    </xf>
    <xf numFmtId="0" fontId="0" fillId="41" borderId="15" xfId="0" applyFill="1" applyBorder="1" applyAlignment="1">
      <alignment horizontal="centerContinuous"/>
    </xf>
    <xf numFmtId="0" fontId="0" fillId="41" borderId="16" xfId="0" applyFill="1" applyBorder="1" applyAlignment="1">
      <alignment horizontal="center"/>
    </xf>
    <xf numFmtId="20" fontId="0" fillId="41" borderId="17" xfId="0" applyNumberFormat="1" applyFill="1" applyBorder="1" applyAlignment="1">
      <alignment horizontal="center"/>
    </xf>
    <xf numFmtId="0" fontId="1" fillId="42" borderId="14" xfId="0" applyFont="1" applyFill="1" applyBorder="1" applyAlignment="1">
      <alignment horizontal="centerContinuous"/>
    </xf>
    <xf numFmtId="0" fontId="0" fillId="42" borderId="16" xfId="0" applyFill="1" applyBorder="1" applyAlignment="1">
      <alignment horizontal="center"/>
    </xf>
    <xf numFmtId="20" fontId="0" fillId="42" borderId="17" xfId="0" applyNumberFormat="1" applyFill="1" applyBorder="1" applyAlignment="1">
      <alignment horizontal="center"/>
    </xf>
    <xf numFmtId="0" fontId="1" fillId="24" borderId="14" xfId="0" applyFont="1" applyFill="1" applyBorder="1" applyAlignment="1">
      <alignment horizontal="centerContinuous"/>
    </xf>
    <xf numFmtId="0" fontId="0" fillId="24" borderId="15" xfId="0" applyFill="1" applyBorder="1" applyAlignment="1">
      <alignment horizontal="centerContinuous"/>
    </xf>
    <xf numFmtId="0" fontId="0" fillId="24" borderId="16" xfId="0" applyFill="1" applyBorder="1" applyAlignment="1">
      <alignment horizontal="center"/>
    </xf>
    <xf numFmtId="20" fontId="0" fillId="24" borderId="17" xfId="0" applyNumberFormat="1" applyFill="1" applyBorder="1" applyAlignment="1">
      <alignment horizontal="center"/>
    </xf>
    <xf numFmtId="0" fontId="1" fillId="42" borderId="15" xfId="0" applyFont="1" applyFill="1" applyBorder="1" applyAlignment="1">
      <alignment horizontal="centerContinuous"/>
    </xf>
    <xf numFmtId="0" fontId="75" fillId="37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39" borderId="30" xfId="0" applyFill="1" applyBorder="1" applyAlignment="1">
      <alignment horizontal="left"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 horizontal="left"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 horizontal="left"/>
    </xf>
    <xf numFmtId="0" fontId="0" fillId="39" borderId="32" xfId="0" applyFill="1" applyBorder="1" applyAlignment="1">
      <alignment/>
    </xf>
    <xf numFmtId="0" fontId="0" fillId="43" borderId="30" xfId="0" applyFill="1" applyBorder="1" applyAlignment="1">
      <alignment horizontal="left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 horizontal="left"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 horizontal="left"/>
    </xf>
    <xf numFmtId="0" fontId="0" fillId="43" borderId="32" xfId="0" applyFill="1" applyBorder="1" applyAlignment="1">
      <alignment/>
    </xf>
    <xf numFmtId="0" fontId="0" fillId="17" borderId="30" xfId="0" applyFill="1" applyBorder="1" applyAlignment="1">
      <alignment horizontal="left"/>
    </xf>
    <xf numFmtId="0" fontId="0" fillId="17" borderId="30" xfId="0" applyFill="1" applyBorder="1" applyAlignment="1">
      <alignment/>
    </xf>
    <xf numFmtId="0" fontId="0" fillId="17" borderId="31" xfId="0" applyFill="1" applyBorder="1" applyAlignment="1">
      <alignment horizontal="left"/>
    </xf>
    <xf numFmtId="0" fontId="0" fillId="17" borderId="31" xfId="0" applyFill="1" applyBorder="1" applyAlignment="1">
      <alignment/>
    </xf>
    <xf numFmtId="0" fontId="0" fillId="44" borderId="31" xfId="0" applyFill="1" applyBorder="1" applyAlignment="1">
      <alignment horizontal="left"/>
    </xf>
    <xf numFmtId="0" fontId="0" fillId="44" borderId="31" xfId="0" applyFill="1" applyBorder="1" applyAlignment="1">
      <alignment/>
    </xf>
    <xf numFmtId="0" fontId="0" fillId="44" borderId="31" xfId="0" applyFont="1" applyFill="1" applyBorder="1" applyAlignment="1">
      <alignment horizontal="left"/>
    </xf>
    <xf numFmtId="0" fontId="0" fillId="44" borderId="31" xfId="0" applyFont="1" applyFill="1" applyBorder="1" applyAlignment="1">
      <alignment/>
    </xf>
    <xf numFmtId="0" fontId="1" fillId="39" borderId="25" xfId="0" applyFont="1" applyFill="1" applyBorder="1" applyAlignment="1">
      <alignment/>
    </xf>
    <xf numFmtId="0" fontId="1" fillId="43" borderId="25" xfId="0" applyFont="1" applyFill="1" applyBorder="1" applyAlignment="1">
      <alignment/>
    </xf>
    <xf numFmtId="0" fontId="1" fillId="44" borderId="25" xfId="0" applyFont="1" applyFill="1" applyBorder="1" applyAlignment="1">
      <alignment/>
    </xf>
    <xf numFmtId="0" fontId="1" fillId="11" borderId="25" xfId="0" applyFont="1" applyFill="1" applyBorder="1" applyAlignment="1">
      <alignment/>
    </xf>
    <xf numFmtId="0" fontId="78" fillId="44" borderId="30" xfId="0" applyFont="1" applyFill="1" applyBorder="1" applyAlignment="1">
      <alignment horizontal="left"/>
    </xf>
    <xf numFmtId="0" fontId="78" fillId="44" borderId="30" xfId="0" applyFont="1" applyFill="1" applyBorder="1" applyAlignment="1">
      <alignment/>
    </xf>
    <xf numFmtId="0" fontId="79" fillId="44" borderId="30" xfId="0" applyFont="1" applyFill="1" applyBorder="1" applyAlignment="1">
      <alignment/>
    </xf>
    <xf numFmtId="0" fontId="78" fillId="44" borderId="31" xfId="0" applyFont="1" applyFill="1" applyBorder="1" applyAlignment="1">
      <alignment horizontal="left"/>
    </xf>
    <xf numFmtId="0" fontId="78" fillId="44" borderId="31" xfId="0" applyFont="1" applyFill="1" applyBorder="1" applyAlignment="1">
      <alignment/>
    </xf>
    <xf numFmtId="0" fontId="79" fillId="44" borderId="31" xfId="0" applyFont="1" applyFill="1" applyBorder="1" applyAlignment="1">
      <alignment/>
    </xf>
    <xf numFmtId="0" fontId="79" fillId="44" borderId="31" xfId="0" applyFont="1" applyFill="1" applyBorder="1" applyAlignment="1">
      <alignment horizontal="left"/>
    </xf>
    <xf numFmtId="0" fontId="78" fillId="44" borderId="32" xfId="0" applyFont="1" applyFill="1" applyBorder="1" applyAlignment="1">
      <alignment horizontal="left"/>
    </xf>
    <xf numFmtId="0" fontId="78" fillId="44" borderId="32" xfId="0" applyFont="1" applyFill="1" applyBorder="1" applyAlignment="1">
      <alignment/>
    </xf>
    <xf numFmtId="0" fontId="79" fillId="44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28" xfId="0" applyBorder="1" applyAlignment="1">
      <alignment horizontal="right"/>
    </xf>
    <xf numFmtId="0" fontId="77" fillId="0" borderId="28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right"/>
    </xf>
    <xf numFmtId="0" fontId="75" fillId="0" borderId="28" xfId="0" applyFont="1" applyFill="1" applyBorder="1" applyAlignment="1">
      <alignment/>
    </xf>
    <xf numFmtId="10" fontId="75" fillId="38" borderId="0" xfId="0" applyNumberFormat="1" applyFont="1" applyFill="1" applyBorder="1" applyAlignment="1">
      <alignment horizontal="center"/>
    </xf>
    <xf numFmtId="10" fontId="75" fillId="38" borderId="28" xfId="0" applyNumberFormat="1" applyFont="1" applyFill="1" applyBorder="1" applyAlignment="1">
      <alignment horizontal="center"/>
    </xf>
    <xf numFmtId="0" fontId="80" fillId="38" borderId="34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20" fontId="7" fillId="0" borderId="34" xfId="0" applyNumberFormat="1" applyFont="1" applyBorder="1" applyAlignment="1">
      <alignment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1" fontId="0" fillId="45" borderId="0" xfId="0" applyNumberFormat="1" applyFill="1" applyBorder="1" applyAlignment="1">
      <alignment/>
    </xf>
    <xf numFmtId="0" fontId="81" fillId="46" borderId="36" xfId="0" applyFont="1" applyFill="1" applyBorder="1" applyAlignment="1">
      <alignment/>
    </xf>
    <xf numFmtId="0" fontId="75" fillId="46" borderId="37" xfId="0" applyFont="1" applyFill="1" applyBorder="1" applyAlignment="1">
      <alignment/>
    </xf>
    <xf numFmtId="0" fontId="75" fillId="46" borderId="38" xfId="0" applyFont="1" applyFill="1" applyBorder="1" applyAlignment="1">
      <alignment/>
    </xf>
    <xf numFmtId="0" fontId="82" fillId="46" borderId="36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47" borderId="25" xfId="0" applyFill="1" applyBorder="1" applyAlignment="1">
      <alignment/>
    </xf>
    <xf numFmtId="1" fontId="0" fillId="47" borderId="0" xfId="0" applyNumberFormat="1" applyFill="1" applyBorder="1" applyAlignment="1">
      <alignment horizontal="right"/>
    </xf>
    <xf numFmtId="1" fontId="0" fillId="47" borderId="0" xfId="0" applyNumberFormat="1" applyFill="1" applyBorder="1" applyAlignment="1">
      <alignment/>
    </xf>
    <xf numFmtId="2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left"/>
    </xf>
    <xf numFmtId="0" fontId="0" fillId="47" borderId="0" xfId="0" applyFill="1" applyBorder="1" applyAlignment="1">
      <alignment horizontal="right"/>
    </xf>
    <xf numFmtId="0" fontId="0" fillId="47" borderId="0" xfId="0" applyFill="1" applyBorder="1" applyAlignment="1">
      <alignment/>
    </xf>
    <xf numFmtId="0" fontId="75" fillId="0" borderId="26" xfId="0" applyFont="1" applyFill="1" applyBorder="1" applyAlignment="1">
      <alignment/>
    </xf>
    <xf numFmtId="0" fontId="83" fillId="0" borderId="25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48" borderId="0" xfId="0" applyFill="1" applyBorder="1" applyAlignment="1">
      <alignment/>
    </xf>
    <xf numFmtId="2" fontId="0" fillId="48" borderId="0" xfId="0" applyNumberFormat="1" applyFill="1" applyBorder="1" applyAlignment="1">
      <alignment/>
    </xf>
    <xf numFmtId="0" fontId="77" fillId="48" borderId="0" xfId="0" applyFont="1" applyFill="1" applyBorder="1" applyAlignment="1">
      <alignment/>
    </xf>
    <xf numFmtId="0" fontId="77" fillId="48" borderId="28" xfId="0" applyFont="1" applyFill="1" applyBorder="1" applyAlignment="1">
      <alignment/>
    </xf>
    <xf numFmtId="10" fontId="0" fillId="48" borderId="0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84" fillId="0" borderId="34" xfId="0" applyFont="1" applyBorder="1" applyAlignment="1">
      <alignment horizontal="right"/>
    </xf>
    <xf numFmtId="1" fontId="77" fillId="0" borderId="0" xfId="0" applyNumberFormat="1" applyFont="1" applyFill="1" applyBorder="1" applyAlignment="1">
      <alignment/>
    </xf>
    <xf numFmtId="2" fontId="77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25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75" fillId="37" borderId="0" xfId="0" applyFont="1" applyFill="1" applyBorder="1" applyAlignment="1">
      <alignment/>
    </xf>
    <xf numFmtId="0" fontId="75" fillId="37" borderId="26" xfId="0" applyFont="1" applyFill="1" applyBorder="1" applyAlignment="1">
      <alignment/>
    </xf>
    <xf numFmtId="164" fontId="0" fillId="48" borderId="0" xfId="0" applyNumberFormat="1" applyFill="1" applyBorder="1" applyAlignment="1">
      <alignment/>
    </xf>
    <xf numFmtId="164" fontId="0" fillId="48" borderId="26" xfId="0" applyNumberFormat="1" applyFill="1" applyBorder="1" applyAlignment="1">
      <alignment/>
    </xf>
    <xf numFmtId="0" fontId="11" fillId="0" borderId="0" xfId="0" applyFont="1" applyAlignment="1">
      <alignment/>
    </xf>
    <xf numFmtId="0" fontId="14" fillId="0" borderId="0" xfId="53" applyFont="1" applyBorder="1" applyAlignment="1" applyProtection="1">
      <alignment horizontal="left"/>
      <protection/>
    </xf>
    <xf numFmtId="0" fontId="77" fillId="0" borderId="0" xfId="0" applyFont="1" applyFill="1" applyBorder="1" applyAlignment="1">
      <alignment horizontal="center"/>
    </xf>
    <xf numFmtId="0" fontId="77" fillId="0" borderId="28" xfId="0" applyFont="1" applyFill="1" applyBorder="1" applyAlignment="1">
      <alignment horizontal="center"/>
    </xf>
    <xf numFmtId="0" fontId="11" fillId="48" borderId="26" xfId="0" applyFont="1" applyFill="1" applyBorder="1" applyAlignment="1">
      <alignment horizontal="right"/>
    </xf>
    <xf numFmtId="0" fontId="85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78" fillId="44" borderId="30" xfId="0" applyNumberFormat="1" applyFont="1" applyFill="1" applyBorder="1" applyAlignment="1">
      <alignment horizontal="center"/>
    </xf>
    <xf numFmtId="2" fontId="78" fillId="44" borderId="31" xfId="0" applyNumberFormat="1" applyFont="1" applyFill="1" applyBorder="1" applyAlignment="1">
      <alignment horizontal="center"/>
    </xf>
    <xf numFmtId="2" fontId="0" fillId="44" borderId="31" xfId="0" applyNumberFormat="1" applyFill="1" applyBorder="1" applyAlignment="1">
      <alignment horizontal="center"/>
    </xf>
    <xf numFmtId="2" fontId="0" fillId="44" borderId="31" xfId="0" applyNumberFormat="1" applyFont="1" applyFill="1" applyBorder="1" applyAlignment="1">
      <alignment horizontal="center"/>
    </xf>
    <xf numFmtId="2" fontId="79" fillId="44" borderId="31" xfId="0" applyNumberFormat="1" applyFont="1" applyFill="1" applyBorder="1" applyAlignment="1">
      <alignment horizontal="center"/>
    </xf>
    <xf numFmtId="2" fontId="78" fillId="44" borderId="32" xfId="0" applyNumberFormat="1" applyFont="1" applyFill="1" applyBorder="1" applyAlignment="1">
      <alignment horizontal="center"/>
    </xf>
    <xf numFmtId="2" fontId="0" fillId="39" borderId="30" xfId="0" applyNumberFormat="1" applyFill="1" applyBorder="1" applyAlignment="1">
      <alignment horizontal="center"/>
    </xf>
    <xf numFmtId="2" fontId="0" fillId="39" borderId="31" xfId="0" applyNumberFormat="1" applyFill="1" applyBorder="1" applyAlignment="1">
      <alignment horizontal="center"/>
    </xf>
    <xf numFmtId="2" fontId="0" fillId="39" borderId="3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3" borderId="30" xfId="0" applyNumberFormat="1" applyFill="1" applyBorder="1" applyAlignment="1">
      <alignment horizontal="center"/>
    </xf>
    <xf numFmtId="2" fontId="0" fillId="43" borderId="31" xfId="0" applyNumberFormat="1" applyFill="1" applyBorder="1" applyAlignment="1">
      <alignment horizontal="center"/>
    </xf>
    <xf numFmtId="2" fontId="0" fillId="43" borderId="32" xfId="0" applyNumberFormat="1" applyFill="1" applyBorder="1" applyAlignment="1">
      <alignment horizontal="center"/>
    </xf>
    <xf numFmtId="2" fontId="0" fillId="17" borderId="30" xfId="0" applyNumberFormat="1" applyFill="1" applyBorder="1" applyAlignment="1">
      <alignment horizontal="center"/>
    </xf>
    <xf numFmtId="2" fontId="0" fillId="17" borderId="3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39" xfId="0" applyFont="1" applyBorder="1" applyAlignment="1">
      <alignment horizontal="center"/>
    </xf>
    <xf numFmtId="0" fontId="2" fillId="43" borderId="31" xfId="0" applyFont="1" applyFill="1" applyBorder="1" applyAlignment="1">
      <alignment horizontal="left"/>
    </xf>
    <xf numFmtId="0" fontId="2" fillId="17" borderId="3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43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17" borderId="0" xfId="0" applyFill="1" applyBorder="1" applyAlignment="1">
      <alignment horizontal="center"/>
    </xf>
    <xf numFmtId="2" fontId="0" fillId="17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2" fillId="37" borderId="36" xfId="0" applyFont="1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15" fillId="0" borderId="40" xfId="0" applyFont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2" fontId="0" fillId="43" borderId="0" xfId="0" applyNumberFormat="1" applyFill="1" applyBorder="1" applyAlignment="1">
      <alignment horizontal="center"/>
    </xf>
    <xf numFmtId="2" fontId="0" fillId="17" borderId="26" xfId="0" applyNumberFormat="1" applyFill="1" applyBorder="1" applyAlignment="1">
      <alignment horizontal="center"/>
    </xf>
    <xf numFmtId="0" fontId="1" fillId="17" borderId="28" xfId="0" applyFont="1" applyFill="1" applyBorder="1" applyAlignment="1">
      <alignment/>
    </xf>
    <xf numFmtId="0" fontId="82" fillId="49" borderId="25" xfId="0" applyFont="1" applyFill="1" applyBorder="1" applyAlignment="1">
      <alignment/>
    </xf>
    <xf numFmtId="0" fontId="0" fillId="49" borderId="25" xfId="0" applyFill="1" applyBorder="1" applyAlignment="1">
      <alignment/>
    </xf>
    <xf numFmtId="0" fontId="0" fillId="49" borderId="27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28" xfId="0" applyFill="1" applyBorder="1" applyAlignment="1">
      <alignment/>
    </xf>
    <xf numFmtId="0" fontId="0" fillId="50" borderId="39" xfId="0" applyFill="1" applyBorder="1" applyAlignment="1">
      <alignment/>
    </xf>
    <xf numFmtId="0" fontId="15" fillId="50" borderId="39" xfId="0" applyFont="1" applyFill="1" applyBorder="1" applyAlignment="1">
      <alignment horizontal="center"/>
    </xf>
    <xf numFmtId="0" fontId="81" fillId="37" borderId="0" xfId="0" applyFont="1" applyFill="1" applyAlignment="1">
      <alignment/>
    </xf>
    <xf numFmtId="0" fontId="81" fillId="37" borderId="0" xfId="0" applyFont="1" applyFill="1" applyAlignment="1">
      <alignment horizontal="center"/>
    </xf>
    <xf numFmtId="2" fontId="0" fillId="47" borderId="0" xfId="0" applyNumberFormat="1" applyFill="1" applyAlignment="1">
      <alignment/>
    </xf>
    <xf numFmtId="0" fontId="0" fillId="47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3" borderId="30" xfId="0" applyFill="1" applyBorder="1" applyAlignment="1">
      <alignment horizontal="center"/>
    </xf>
    <xf numFmtId="0" fontId="0" fillId="43" borderId="31" xfId="0" applyFill="1" applyBorder="1" applyAlignment="1">
      <alignment horizontal="center"/>
    </xf>
    <xf numFmtId="0" fontId="2" fillId="17" borderId="31" xfId="0" applyFont="1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164" fontId="0" fillId="0" borderId="26" xfId="0" applyNumberFormat="1" applyFill="1" applyBorder="1" applyAlignment="1">
      <alignment/>
    </xf>
    <xf numFmtId="0" fontId="86" fillId="0" borderId="3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0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20" fontId="0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84" fillId="0" borderId="0" xfId="0" applyFont="1" applyBorder="1" applyAlignment="1">
      <alignment horizontal="right"/>
    </xf>
    <xf numFmtId="20" fontId="7" fillId="0" borderId="0" xfId="0" applyNumberFormat="1" applyFont="1" applyBorder="1" applyAlignment="1">
      <alignment/>
    </xf>
    <xf numFmtId="0" fontId="80" fillId="0" borderId="0" xfId="0" applyFont="1" applyFill="1" applyBorder="1" applyAlignment="1">
      <alignment horizontal="center"/>
    </xf>
    <xf numFmtId="0" fontId="82" fillId="37" borderId="0" xfId="0" applyFont="1" applyFill="1" applyAlignment="1">
      <alignment/>
    </xf>
    <xf numFmtId="0" fontId="87" fillId="46" borderId="36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82" fillId="37" borderId="0" xfId="0" applyFont="1" applyFill="1" applyBorder="1" applyAlignment="1">
      <alignment/>
    </xf>
    <xf numFmtId="0" fontId="5" fillId="0" borderId="0" xfId="53" applyAlignment="1" applyProtection="1">
      <alignment/>
      <protection/>
    </xf>
    <xf numFmtId="14" fontId="0" fillId="0" borderId="0" xfId="0" applyNumberFormat="1" applyAlignment="1">
      <alignment/>
    </xf>
    <xf numFmtId="0" fontId="86" fillId="0" borderId="24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0" fillId="50" borderId="24" xfId="0" applyFill="1" applyBorder="1" applyAlignment="1">
      <alignment/>
    </xf>
    <xf numFmtId="0" fontId="1" fillId="43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0" xfId="0" applyFont="1" applyFill="1" applyAlignment="1">
      <alignment/>
    </xf>
    <xf numFmtId="0" fontId="15" fillId="0" borderId="24" xfId="0" applyFont="1" applyBorder="1" applyAlignment="1">
      <alignment horizontal="center"/>
    </xf>
    <xf numFmtId="0" fontId="0" fillId="50" borderId="10" xfId="0" applyFill="1" applyBorder="1" applyAlignment="1">
      <alignment/>
    </xf>
    <xf numFmtId="0" fontId="15" fillId="0" borderId="10" xfId="0" applyFont="1" applyBorder="1" applyAlignment="1">
      <alignment horizontal="center"/>
    </xf>
    <xf numFmtId="0" fontId="0" fillId="50" borderId="14" xfId="0" applyFill="1" applyBorder="1" applyAlignment="1">
      <alignment/>
    </xf>
    <xf numFmtId="0" fontId="11" fillId="48" borderId="0" xfId="0" applyFont="1" applyFill="1" applyBorder="1" applyAlignment="1">
      <alignment horizontal="right"/>
    </xf>
    <xf numFmtId="0" fontId="0" fillId="43" borderId="31" xfId="0" applyFont="1" applyFill="1" applyBorder="1" applyAlignment="1">
      <alignment horizontal="left"/>
    </xf>
    <xf numFmtId="0" fontId="0" fillId="43" borderId="31" xfId="0" applyFont="1" applyFill="1" applyBorder="1" applyAlignment="1">
      <alignment/>
    </xf>
    <xf numFmtId="2" fontId="0" fillId="43" borderId="31" xfId="0" applyNumberFormat="1" applyFont="1" applyFill="1" applyBorder="1" applyAlignment="1">
      <alignment horizontal="center"/>
    </xf>
    <xf numFmtId="0" fontId="0" fillId="43" borderId="41" xfId="0" applyFont="1" applyFill="1" applyBorder="1" applyAlignment="1">
      <alignment horizontal="left"/>
    </xf>
    <xf numFmtId="0" fontId="0" fillId="43" borderId="41" xfId="0" applyFont="1" applyFill="1" applyBorder="1" applyAlignment="1">
      <alignment/>
    </xf>
    <xf numFmtId="2" fontId="0" fillId="43" borderId="41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164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48" borderId="25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88" fillId="0" borderId="36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1" fillId="43" borderId="25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1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'901 Gear Ratio Model'!$F$97</c:f>
        </c:strRef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06525"/>
          <c:w val="0.860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'901 Gear Ratio Model'!$R$114</c:f>
              <c:strCache>
                <c:ptCount val="1"/>
                <c:pt idx="0">
                  <c:v>1st - 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Model'!$R$115:$R$145</c:f>
              <c:numCache/>
            </c:numRef>
          </c:val>
          <c:smooth val="0"/>
        </c:ser>
        <c:ser>
          <c:idx val="1"/>
          <c:order val="1"/>
          <c:tx>
            <c:strRef>
              <c:f>'901 Gear Ratio Model'!$S$114</c:f>
              <c:strCache>
                <c:ptCount val="1"/>
                <c:pt idx="0">
                  <c:v>2nd - GA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Model'!$S$115:$S$145</c:f>
              <c:numCache/>
            </c:numRef>
          </c:val>
          <c:smooth val="0"/>
        </c:ser>
        <c:ser>
          <c:idx val="2"/>
          <c:order val="2"/>
          <c:tx>
            <c:strRef>
              <c:f>'901 Gear Ratio Model'!$T$114</c:f>
              <c:strCache>
                <c:ptCount val="1"/>
                <c:pt idx="0">
                  <c:v>3rd - KA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Model'!$T$115:$T$145</c:f>
              <c:numCache/>
            </c:numRef>
          </c:val>
          <c:smooth val="0"/>
        </c:ser>
        <c:ser>
          <c:idx val="3"/>
          <c:order val="3"/>
          <c:tx>
            <c:strRef>
              <c:f>'901 Gear Ratio Model'!$U$114</c:f>
              <c:strCache>
                <c:ptCount val="1"/>
                <c:pt idx="0">
                  <c:v>4th - Q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Model'!$U$115:$U$145</c:f>
              <c:numCache/>
            </c:numRef>
          </c:val>
          <c:smooth val="0"/>
        </c:ser>
        <c:ser>
          <c:idx val="4"/>
          <c:order val="4"/>
          <c:tx>
            <c:strRef>
              <c:f>'901 Gear Ratio Model'!$V$114</c:f>
              <c:strCache>
                <c:ptCount val="1"/>
                <c:pt idx="0">
                  <c:v>5th - 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Model'!$V$115:$V$145</c:f>
              <c:numCache/>
            </c:numRef>
          </c:val>
          <c:smooth val="0"/>
        </c:ser>
        <c:ser>
          <c:idx val="5"/>
          <c:order val="5"/>
          <c:tx>
            <c:strRef>
              <c:f>'901 Gear Ratio Model'!$W$114</c:f>
              <c:strCache>
                <c:ptCount val="1"/>
                <c:pt idx="0">
                  <c:v>Shift Point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'901 Gear Ratio Model'!$Q$115:$Q$145</c:f>
              <c:numCache/>
            </c:numRef>
          </c:cat>
          <c:val>
            <c:numRef>
              <c:f>'901 Gear Ratio Model'!$W$115:$W$145</c:f>
              <c:numCache/>
            </c:numRef>
          </c:val>
          <c:smooth val="0"/>
        </c:ser>
        <c:dropLines>
          <c:spPr>
            <a:ln w="3175">
              <a:solidFill>
                <a:srgbClr val="808080"/>
              </a:solidFill>
              <a:prstDash val="sysDot"/>
            </a:ln>
          </c:spPr>
        </c:dropLines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46855299"/>
        <c:crosses val="autoZero"/>
        <c:auto val="1"/>
        <c:lblOffset val="100"/>
        <c:tickLblSkip val="2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2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8175"/>
          <c:w val="0.12575"/>
          <c:h val="0.2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'901 Gear Ratio Model'!$R$42</c:f>
        </c:strRef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08975"/>
          <c:w val="0.8652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'901 Gear Ratio Model'!$R$45</c:f>
              <c:strCache>
                <c:ptCount val="1"/>
                <c:pt idx="0">
                  <c:v>1st - 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Model'!$R$46:$R$76</c:f>
              <c:numCache/>
            </c:numRef>
          </c:val>
          <c:smooth val="0"/>
        </c:ser>
        <c:ser>
          <c:idx val="1"/>
          <c:order val="1"/>
          <c:tx>
            <c:strRef>
              <c:f>'901 Gear Ratio Model'!$S$45</c:f>
              <c:strCache>
                <c:ptCount val="1"/>
                <c:pt idx="0">
                  <c:v>2nd - F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Model'!$S$46:$S$76</c:f>
              <c:numCache/>
            </c:numRef>
          </c:val>
          <c:smooth val="0"/>
        </c:ser>
        <c:ser>
          <c:idx val="2"/>
          <c:order val="2"/>
          <c:tx>
            <c:strRef>
              <c:f>'901 Gear Ratio Model'!$T$45</c:f>
              <c:strCache>
                <c:ptCount val="1"/>
                <c:pt idx="0">
                  <c:v>3rd - N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Model'!$T$46:$T$76</c:f>
              <c:numCache/>
            </c:numRef>
          </c:val>
          <c:smooth val="0"/>
        </c:ser>
        <c:ser>
          <c:idx val="3"/>
          <c:order val="3"/>
          <c:tx>
            <c:strRef>
              <c:f>'901 Gear Ratio Model'!$U$45</c:f>
              <c:strCache>
                <c:ptCount val="1"/>
                <c:pt idx="0">
                  <c:v>4th - 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Model'!$U$46:$U$76</c:f>
              <c:numCache/>
            </c:numRef>
          </c:val>
          <c:smooth val="0"/>
        </c:ser>
        <c:ser>
          <c:idx val="4"/>
          <c:order val="4"/>
          <c:tx>
            <c:strRef>
              <c:f>'901 Gear Ratio Model'!$V$45</c:f>
              <c:strCache>
                <c:ptCount val="1"/>
                <c:pt idx="0">
                  <c:v>5th - ZD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Model'!$V$46:$V$76</c:f>
              <c:numCache/>
            </c:numRef>
          </c:val>
          <c:smooth val="0"/>
        </c:ser>
        <c:ser>
          <c:idx val="5"/>
          <c:order val="5"/>
          <c:tx>
            <c:strRef>
              <c:f>'901 Gear Ratio Model'!$W$45</c:f>
              <c:strCache>
                <c:ptCount val="1"/>
                <c:pt idx="0">
                  <c:v>Shift Point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'901 Gear Ratio Model'!$Q$46:$Q$76</c:f>
              <c:numCache/>
            </c:numRef>
          </c:cat>
          <c:val>
            <c:numRef>
              <c:f>'901 Gear Ratio Model'!$W$46:$W$76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  <a:prstDash val="sysDot"/>
            </a:ln>
          </c:spPr>
        </c:dropLines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37182845"/>
        <c:crosses val="autoZero"/>
        <c:auto val="1"/>
        <c:lblOffset val="100"/>
        <c:tickLblSkip val="2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4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391"/>
          <c:w val="0.12625"/>
          <c:h val="0.2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5</xdr:row>
      <xdr:rowOff>66675</xdr:rowOff>
    </xdr:from>
    <xdr:to>
      <xdr:col>6</xdr:col>
      <xdr:colOff>1162050</xdr:colOff>
      <xdr:row>20</xdr:row>
      <xdr:rowOff>47625</xdr:rowOff>
    </xdr:to>
    <xdr:pic>
      <xdr:nvPicPr>
        <xdr:cNvPr id="1" name="Picture 1" descr="Mathpro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14400"/>
          <a:ext cx="4333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0.107</cdr:y>
    </cdr:from>
    <cdr:to>
      <cdr:x>0.196</cdr:x>
      <cdr:y>0.18025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4381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MPH ; RPM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0.13125</cdr:y>
    </cdr:from>
    <cdr:to>
      <cdr:x>0.1935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5810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MPH ; RPM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111</xdr:row>
      <xdr:rowOff>19050</xdr:rowOff>
    </xdr:from>
    <xdr:to>
      <xdr:col>14</xdr:col>
      <xdr:colOff>533400</xdr:colOff>
      <xdr:row>136</xdr:row>
      <xdr:rowOff>123825</xdr:rowOff>
    </xdr:to>
    <xdr:graphicFrame>
      <xdr:nvGraphicFramePr>
        <xdr:cNvPr id="1" name="Chart 10"/>
        <xdr:cNvGraphicFramePr/>
      </xdr:nvGraphicFramePr>
      <xdr:xfrm>
        <a:off x="1619250" y="15954375"/>
        <a:ext cx="8477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42</xdr:row>
      <xdr:rowOff>19050</xdr:rowOff>
    </xdr:from>
    <xdr:to>
      <xdr:col>14</xdr:col>
      <xdr:colOff>457200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1571625" y="5838825"/>
        <a:ext cx="84486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914world.com/specs/regearing_901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914world.com/specs/tirecalc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J5" sqref="J5"/>
    </sheetView>
  </sheetViews>
  <sheetFormatPr defaultColWidth="9.00390625" defaultRowHeight="12.75"/>
  <sheetData>
    <row r="3" spans="1:2" ht="12.75">
      <c r="A3" s="327">
        <v>38060</v>
      </c>
      <c r="B3" t="s">
        <v>185</v>
      </c>
    </row>
    <row r="4" spans="1:2" ht="12.75">
      <c r="A4" s="327">
        <v>38123</v>
      </c>
      <c r="B4" t="s">
        <v>175</v>
      </c>
    </row>
    <row r="5" spans="1:2" ht="12.75">
      <c r="A5" s="327">
        <v>38123</v>
      </c>
      <c r="B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showGridLines="0" zoomScalePageLayoutView="0" workbookViewId="0" topLeftCell="A7">
      <selection activeCell="H6" sqref="H6"/>
    </sheetView>
  </sheetViews>
  <sheetFormatPr defaultColWidth="9.00390625" defaultRowHeight="12.75"/>
  <cols>
    <col min="1" max="1" width="4.00390625" style="0" customWidth="1"/>
    <col min="3" max="3" width="5.00390625" style="0" customWidth="1"/>
    <col min="4" max="4" width="8.125" style="0" customWidth="1"/>
    <col min="6" max="6" width="11.875" style="0" customWidth="1"/>
    <col min="7" max="7" width="27.125" style="0" customWidth="1"/>
    <col min="8" max="8" width="9.00390625" style="0" customWidth="1"/>
    <col min="9" max="9" width="5.25390625" style="0" customWidth="1"/>
  </cols>
  <sheetData>
    <row r="1" ht="12.75">
      <c r="B1" s="217" t="s">
        <v>184</v>
      </c>
    </row>
    <row r="3" spans="2:15" ht="15.75">
      <c r="B3" s="325" t="s">
        <v>156</v>
      </c>
      <c r="C3" s="242"/>
      <c r="D3" s="315"/>
      <c r="E3" s="315"/>
      <c r="F3" s="315"/>
      <c r="G3" s="315"/>
      <c r="H3" s="315"/>
      <c r="I3" s="316"/>
      <c r="J3" s="315"/>
      <c r="K3" s="315"/>
      <c r="L3" s="315"/>
      <c r="M3" s="315"/>
      <c r="N3" s="317"/>
      <c r="O3" s="317"/>
    </row>
    <row r="23" spans="2:8" ht="15">
      <c r="B23" s="323" t="s">
        <v>168</v>
      </c>
      <c r="G23" s="326" t="s">
        <v>169</v>
      </c>
      <c r="H23" t="s">
        <v>167</v>
      </c>
    </row>
    <row r="24" ht="12.75">
      <c r="B24" t="s">
        <v>170</v>
      </c>
    </row>
    <row r="25" ht="12.75">
      <c r="B25" t="s">
        <v>166</v>
      </c>
    </row>
    <row r="26" ht="18.75" customHeight="1">
      <c r="B26" t="s">
        <v>157</v>
      </c>
    </row>
    <row r="27" ht="7.5" customHeight="1"/>
    <row r="28" ht="15">
      <c r="B28" s="324" t="s">
        <v>165</v>
      </c>
    </row>
    <row r="29" spans="2:4" ht="15">
      <c r="B29" s="324"/>
      <c r="D29" t="s">
        <v>164</v>
      </c>
    </row>
    <row r="30" ht="6.75" customHeight="1">
      <c r="B30" s="324"/>
    </row>
    <row r="31" ht="15">
      <c r="B31" s="324" t="s">
        <v>158</v>
      </c>
    </row>
    <row r="32" spans="2:4" ht="15">
      <c r="B32" s="324"/>
      <c r="D32" t="s">
        <v>159</v>
      </c>
    </row>
    <row r="33" ht="6" customHeight="1">
      <c r="B33" s="324"/>
    </row>
    <row r="34" ht="17.25">
      <c r="B34" s="324" t="s">
        <v>160</v>
      </c>
    </row>
    <row r="35" spans="2:4" ht="15">
      <c r="B35" s="324"/>
      <c r="D35" t="s">
        <v>161</v>
      </c>
    </row>
    <row r="36" ht="6" customHeight="1">
      <c r="B36" s="324"/>
    </row>
    <row r="37" ht="15">
      <c r="B37" s="324" t="s">
        <v>162</v>
      </c>
    </row>
    <row r="38" ht="12.75">
      <c r="D38" t="s">
        <v>163</v>
      </c>
    </row>
    <row r="41" ht="12.75">
      <c r="D41" s="326"/>
    </row>
  </sheetData>
  <sheetProtection/>
  <hyperlinks>
    <hyperlink ref="G23" r:id="rId1" display="914 Re-gearing Tech Article"/>
  </hyperlinks>
  <printOptions/>
  <pageMargins left="0.7" right="0.7" top="0.75" bottom="0.75" header="0.3" footer="0.3"/>
  <pageSetup horizontalDpi="300" verticalDpi="3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9"/>
  <sheetViews>
    <sheetView showGridLines="0" tabSelected="1" zoomScalePageLayoutView="0" workbookViewId="0" topLeftCell="A87">
      <selection activeCell="C113" sqref="C113"/>
    </sheetView>
  </sheetViews>
  <sheetFormatPr defaultColWidth="11.375" defaultRowHeight="12.75"/>
  <cols>
    <col min="1" max="1" width="3.375" style="0" customWidth="1"/>
    <col min="2" max="2" width="11.375" style="0" customWidth="1"/>
    <col min="3" max="3" width="5.625" style="0" customWidth="1"/>
    <col min="4" max="4" width="3.00390625" style="0" customWidth="1"/>
    <col min="5" max="5" width="1.12109375" style="0" customWidth="1"/>
    <col min="6" max="6" width="8.875" style="0" customWidth="1"/>
    <col min="7" max="7" width="11.875" style="0" customWidth="1"/>
    <col min="8" max="10" width="11.375" style="0" customWidth="1"/>
    <col min="11" max="11" width="12.00390625" style="0" bestFit="1" customWidth="1"/>
  </cols>
  <sheetData>
    <row r="1" spans="2:9" ht="12.75">
      <c r="B1" s="217" t="str">
        <f>'914 901 Gear Ratio Workbook'!B1</f>
        <v>05/17/08 - 914 901 Gear Ratio Sheet - Greg Braun (race914 )</v>
      </c>
      <c r="I1" s="3"/>
    </row>
    <row r="2" spans="2:9" ht="12.75">
      <c r="B2" s="217"/>
      <c r="I2" s="3"/>
    </row>
    <row r="3" spans="2:15" ht="15.75">
      <c r="B3" s="314" t="s">
        <v>152</v>
      </c>
      <c r="C3" s="242"/>
      <c r="D3" s="315"/>
      <c r="E3" s="315"/>
      <c r="F3" s="315"/>
      <c r="G3" s="315"/>
      <c r="H3" s="315"/>
      <c r="I3" s="316"/>
      <c r="J3" s="315"/>
      <c r="K3" s="315"/>
      <c r="L3" s="315"/>
      <c r="M3" s="315"/>
      <c r="N3" s="317"/>
      <c r="O3" s="317"/>
    </row>
    <row r="4" spans="2:9" ht="13.5" thickBot="1">
      <c r="B4" s="217"/>
      <c r="I4" s="3"/>
    </row>
    <row r="5" spans="2:15" ht="15.75" thickBot="1">
      <c r="B5" s="194"/>
      <c r="C5" s="234"/>
      <c r="D5" s="234"/>
      <c r="E5" s="235" t="s">
        <v>91</v>
      </c>
      <c r="F5" s="207" t="s">
        <v>83</v>
      </c>
      <c r="G5" s="208" t="s">
        <v>92</v>
      </c>
      <c r="H5" s="208"/>
      <c r="I5" s="209"/>
      <c r="J5" s="208"/>
      <c r="K5" s="208"/>
      <c r="L5" s="208"/>
      <c r="M5" s="208"/>
      <c r="N5" s="195"/>
      <c r="O5" s="196"/>
    </row>
    <row r="6" spans="2:15" ht="15">
      <c r="B6" s="159"/>
      <c r="C6" s="68"/>
      <c r="D6" s="68"/>
      <c r="E6" s="318"/>
      <c r="F6" s="320"/>
      <c r="G6" s="313"/>
      <c r="H6" s="313"/>
      <c r="I6" s="319"/>
      <c r="J6" s="313"/>
      <c r="K6" s="313"/>
      <c r="L6" s="313"/>
      <c r="M6" s="313"/>
      <c r="N6" s="159"/>
      <c r="O6" s="159"/>
    </row>
    <row r="7" spans="3:13" ht="12.75">
      <c r="C7" s="198"/>
      <c r="D7" s="159"/>
      <c r="E7" s="159"/>
      <c r="F7" s="159"/>
      <c r="G7" s="159"/>
      <c r="H7" s="159"/>
      <c r="I7" s="197"/>
      <c r="J7" s="159"/>
      <c r="K7" s="159"/>
      <c r="L7" s="159"/>
      <c r="M7" s="159"/>
    </row>
    <row r="8" ht="13.5" thickBot="1">
      <c r="I8" s="3"/>
    </row>
    <row r="9" spans="2:15" ht="14.25">
      <c r="B9" s="322" t="s">
        <v>119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</row>
    <row r="10" spans="2:15" ht="12.75">
      <c r="B10" s="226" t="s">
        <v>76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25"/>
    </row>
    <row r="11" spans="2:15" ht="12.75">
      <c r="B11" s="218">
        <v>1</v>
      </c>
      <c r="C11" s="219" t="s">
        <v>0</v>
      </c>
      <c r="D11" s="220">
        <v>11</v>
      </c>
      <c r="E11" s="221" t="s">
        <v>1</v>
      </c>
      <c r="F11" s="222">
        <v>34</v>
      </c>
      <c r="G11" s="221">
        <f>F11/D11</f>
        <v>3.090909090909091</v>
      </c>
      <c r="H11" s="68"/>
      <c r="I11" s="68"/>
      <c r="J11" s="68"/>
      <c r="K11" s="68"/>
      <c r="L11" s="68"/>
      <c r="M11" s="68"/>
      <c r="N11" s="68"/>
      <c r="O11" s="69"/>
    </row>
    <row r="12" spans="2:15" ht="12.75">
      <c r="B12" s="218">
        <v>2</v>
      </c>
      <c r="C12" s="219" t="s">
        <v>55</v>
      </c>
      <c r="D12" s="220">
        <v>18</v>
      </c>
      <c r="E12" s="221" t="s">
        <v>1</v>
      </c>
      <c r="F12" s="222">
        <v>34</v>
      </c>
      <c r="G12" s="221">
        <f>F12/D12</f>
        <v>1.8888888888888888</v>
      </c>
      <c r="H12" s="68"/>
      <c r="I12" s="68"/>
      <c r="J12" s="68"/>
      <c r="K12" s="68"/>
      <c r="L12" s="68"/>
      <c r="M12" s="68"/>
      <c r="N12" s="68"/>
      <c r="O12" s="69"/>
    </row>
    <row r="13" spans="2:15" ht="12.75">
      <c r="B13" s="218">
        <v>3</v>
      </c>
      <c r="C13" s="219" t="s">
        <v>37</v>
      </c>
      <c r="D13" s="220">
        <v>23</v>
      </c>
      <c r="E13" s="221" t="s">
        <v>1</v>
      </c>
      <c r="F13" s="222">
        <v>29</v>
      </c>
      <c r="G13" s="221">
        <f>F13/D13</f>
        <v>1.2608695652173914</v>
      </c>
      <c r="H13" s="68"/>
      <c r="I13" s="68"/>
      <c r="J13" s="68"/>
      <c r="K13" s="68"/>
      <c r="L13" s="68"/>
      <c r="M13" s="68"/>
      <c r="N13" s="68"/>
      <c r="O13" s="69"/>
    </row>
    <row r="14" spans="2:15" ht="12.75">
      <c r="B14" s="218">
        <v>4</v>
      </c>
      <c r="C14" s="223" t="s">
        <v>4</v>
      </c>
      <c r="D14" s="224">
        <v>27</v>
      </c>
      <c r="E14" s="224" t="s">
        <v>1</v>
      </c>
      <c r="F14" s="222">
        <v>25</v>
      </c>
      <c r="G14" s="221">
        <f>F14/D14</f>
        <v>0.9259259259259259</v>
      </c>
      <c r="H14" s="68"/>
      <c r="I14" s="68"/>
      <c r="J14" s="68"/>
      <c r="K14" s="68"/>
      <c r="L14" s="68"/>
      <c r="M14" s="68"/>
      <c r="N14" s="68"/>
      <c r="O14" s="69"/>
    </row>
    <row r="15" spans="2:15" ht="12.75">
      <c r="B15" s="218">
        <v>5</v>
      </c>
      <c r="C15" s="223" t="s">
        <v>49</v>
      </c>
      <c r="D15" s="224">
        <v>31</v>
      </c>
      <c r="E15" s="224" t="s">
        <v>1</v>
      </c>
      <c r="F15" s="222">
        <v>22</v>
      </c>
      <c r="G15" s="221">
        <f>F15/D15</f>
        <v>0.7096774193548387</v>
      </c>
      <c r="H15" s="68"/>
      <c r="I15" s="68"/>
      <c r="J15" s="68"/>
      <c r="K15" s="68"/>
      <c r="L15" s="68"/>
      <c r="M15" s="68"/>
      <c r="N15" s="68"/>
      <c r="O15" s="69"/>
    </row>
    <row r="16" spans="2:15" ht="12.75">
      <c r="B16" s="6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2:15" ht="12.75">
      <c r="B17" s="71" t="s">
        <v>72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2:15" ht="12.75">
      <c r="B18" s="65"/>
      <c r="C18" s="68"/>
      <c r="D18" s="224">
        <v>7</v>
      </c>
      <c r="E18" s="224" t="s">
        <v>1</v>
      </c>
      <c r="F18" s="224">
        <v>31</v>
      </c>
      <c r="G18" s="221">
        <f>F18/D18</f>
        <v>4.428571428571429</v>
      </c>
      <c r="H18" s="68"/>
      <c r="I18" s="68"/>
      <c r="J18" s="68"/>
      <c r="K18" s="68"/>
      <c r="L18" s="68"/>
      <c r="M18" s="68"/>
      <c r="N18" s="68"/>
      <c r="O18" s="69"/>
    </row>
    <row r="19" spans="2:15" ht="12.75">
      <c r="B19" s="71" t="s">
        <v>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2:15" ht="12.75">
      <c r="B20" s="65"/>
      <c r="C20" s="73">
        <v>23.4</v>
      </c>
      <c r="D20" s="68" t="s">
        <v>107</v>
      </c>
      <c r="E20" s="68"/>
      <c r="F20" s="247" t="s">
        <v>106</v>
      </c>
      <c r="G20" s="246"/>
      <c r="L20" s="68"/>
      <c r="M20" s="68"/>
      <c r="N20" s="68"/>
      <c r="O20" s="69"/>
    </row>
    <row r="21" spans="2:15" ht="12.75" hidden="1">
      <c r="B21" s="65"/>
      <c r="C21" s="198"/>
      <c r="D21" s="68"/>
      <c r="E21" s="68"/>
      <c r="F21" s="70"/>
      <c r="G21" s="68">
        <f>C20*3.14</f>
        <v>73.476</v>
      </c>
      <c r="H21" s="68" t="s">
        <v>88</v>
      </c>
      <c r="I21" s="68"/>
      <c r="J21" s="68">
        <f>5280*12</f>
        <v>63360</v>
      </c>
      <c r="K21" s="68" t="s">
        <v>8</v>
      </c>
      <c r="L21" s="68"/>
      <c r="M21" s="68"/>
      <c r="N21" s="68"/>
      <c r="O21" s="69"/>
    </row>
    <row r="22" spans="2:15" ht="12.75">
      <c r="B22" s="71" t="s">
        <v>89</v>
      </c>
      <c r="C22" s="72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2:15" ht="12.75">
      <c r="B23" s="227" t="s">
        <v>14</v>
      </c>
      <c r="C23" s="73">
        <v>6500</v>
      </c>
      <c r="D23" s="68" t="s">
        <v>108</v>
      </c>
      <c r="E23" s="68"/>
      <c r="F23" s="68"/>
      <c r="G23" s="70" t="s">
        <v>84</v>
      </c>
      <c r="H23" s="205">
        <v>0.8</v>
      </c>
      <c r="I23" s="202" t="s">
        <v>86</v>
      </c>
      <c r="J23" s="248">
        <f>C23*H23</f>
        <v>5200</v>
      </c>
      <c r="K23" s="68" t="s">
        <v>108</v>
      </c>
      <c r="L23" s="68"/>
      <c r="M23" s="68"/>
      <c r="N23" s="68"/>
      <c r="O23" s="69"/>
    </row>
    <row r="24" spans="2:15" ht="13.5" thickBot="1">
      <c r="B24" s="77"/>
      <c r="C24" s="204"/>
      <c r="D24" s="78"/>
      <c r="E24" s="78"/>
      <c r="F24" s="78"/>
      <c r="G24" s="200" t="s">
        <v>85</v>
      </c>
      <c r="H24" s="206">
        <v>0.9</v>
      </c>
      <c r="I24" s="201" t="s">
        <v>86</v>
      </c>
      <c r="J24" s="249">
        <f>C23*H24</f>
        <v>5850</v>
      </c>
      <c r="K24" s="78" t="s">
        <v>108</v>
      </c>
      <c r="L24" s="78"/>
      <c r="M24" s="78"/>
      <c r="N24" s="78"/>
      <c r="O24" s="79"/>
    </row>
    <row r="25" spans="2:15" ht="12.75">
      <c r="B25" s="68"/>
      <c r="C25" s="198"/>
      <c r="D25" s="68"/>
      <c r="E25" s="68"/>
      <c r="F25" s="68"/>
      <c r="G25" s="70"/>
      <c r="H25" s="202"/>
      <c r="I25" s="203"/>
      <c r="J25" s="202"/>
      <c r="K25" s="68"/>
      <c r="L25" s="68"/>
      <c r="M25" s="68"/>
      <c r="N25" s="68"/>
      <c r="O25" s="68"/>
    </row>
    <row r="26" spans="2:15" ht="12.75">
      <c r="B26" s="68"/>
      <c r="C26" s="198"/>
      <c r="D26" s="68"/>
      <c r="E26" s="68"/>
      <c r="F26" s="68"/>
      <c r="G26" s="70"/>
      <c r="H26" s="202"/>
      <c r="I26" s="203"/>
      <c r="J26" s="202"/>
      <c r="K26" s="68"/>
      <c r="L26" s="68"/>
      <c r="M26" s="68"/>
      <c r="N26" s="68"/>
      <c r="O26" s="68"/>
    </row>
    <row r="27" spans="2:16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 ht="12.75">
      <c r="B28" s="68"/>
      <c r="C28" s="68"/>
      <c r="D28" s="68"/>
      <c r="E28" s="68"/>
      <c r="F28" s="158" t="str">
        <f>CONCATENATE("914-4 901 Stock Gear Ratios -- ",C20,"'' tire diameter -- ",C23," Redline ")</f>
        <v>914-4 901 Stock Gear Ratios -- 23.4'' tire diameter -- 6500 Redline </v>
      </c>
      <c r="G28" s="158"/>
      <c r="H28" s="158"/>
      <c r="I28" s="158"/>
      <c r="J28" s="158"/>
      <c r="K28" s="158"/>
      <c r="L28" s="158"/>
      <c r="M28" s="158"/>
      <c r="N28" s="158"/>
      <c r="O28" s="68"/>
      <c r="P28" s="68"/>
    </row>
    <row r="29" spans="2:16" ht="12.75">
      <c r="B29" s="68"/>
      <c r="C29" s="68"/>
      <c r="D29" s="68"/>
      <c r="E29" s="68"/>
      <c r="F29" s="144" t="s">
        <v>9</v>
      </c>
      <c r="G29" s="103" t="s">
        <v>10</v>
      </c>
      <c r="H29" s="104"/>
      <c r="I29" s="146" t="s">
        <v>11</v>
      </c>
      <c r="J29" s="147"/>
      <c r="K29" s="153" t="s">
        <v>12</v>
      </c>
      <c r="L29" s="154"/>
      <c r="M29" s="150" t="s">
        <v>13</v>
      </c>
      <c r="N29" s="157"/>
      <c r="O29" s="68"/>
      <c r="P29" s="68"/>
    </row>
    <row r="30" spans="2:16" ht="12.75">
      <c r="B30" s="68"/>
      <c r="C30" s="68"/>
      <c r="D30" s="68"/>
      <c r="E30" s="68"/>
      <c r="F30" s="145" t="s">
        <v>14</v>
      </c>
      <c r="G30" s="105" t="s">
        <v>15</v>
      </c>
      <c r="H30" s="106" t="s">
        <v>14</v>
      </c>
      <c r="I30" s="148" t="s">
        <v>15</v>
      </c>
      <c r="J30" s="149" t="s">
        <v>14</v>
      </c>
      <c r="K30" s="155" t="s">
        <v>15</v>
      </c>
      <c r="L30" s="156" t="s">
        <v>14</v>
      </c>
      <c r="M30" s="151" t="s">
        <v>15</v>
      </c>
      <c r="N30" s="152" t="s">
        <v>14</v>
      </c>
      <c r="O30" s="68"/>
      <c r="P30" s="68"/>
    </row>
    <row r="31" spans="2:16" ht="12.75">
      <c r="B31" s="84" t="s">
        <v>16</v>
      </c>
      <c r="C31" s="68"/>
      <c r="D31" s="68"/>
      <c r="E31" s="68"/>
      <c r="F31" s="87">
        <f>J23</f>
        <v>5200</v>
      </c>
      <c r="G31" s="92">
        <f>G33*G34*G35</f>
        <v>3177.777777777778</v>
      </c>
      <c r="H31" s="93">
        <f>J24</f>
        <v>5850</v>
      </c>
      <c r="I31" s="108">
        <f>I33*I34*I35</f>
        <v>3904.987212276215</v>
      </c>
      <c r="J31" s="109">
        <f>C23</f>
        <v>6500</v>
      </c>
      <c r="K31" s="120">
        <f>K33*K34*K35</f>
        <v>4773.307790549169</v>
      </c>
      <c r="L31" s="121">
        <f>C23</f>
        <v>6500</v>
      </c>
      <c r="M31" s="132">
        <f>M33*M34*M35</f>
        <v>4981.935483870968</v>
      </c>
      <c r="N31" s="133">
        <f>C23</f>
        <v>6500</v>
      </c>
      <c r="O31" s="68"/>
      <c r="P31" s="68"/>
    </row>
    <row r="32" spans="2:16" ht="12.75">
      <c r="B32" s="84" t="s">
        <v>17</v>
      </c>
      <c r="C32" s="68"/>
      <c r="D32" s="68"/>
      <c r="E32" s="68"/>
      <c r="F32" s="88" t="str">
        <f>C11</f>
        <v>A</v>
      </c>
      <c r="G32" s="94" t="str">
        <f>C12</f>
        <v>F</v>
      </c>
      <c r="H32" s="95" t="str">
        <f>C12</f>
        <v>F</v>
      </c>
      <c r="I32" s="110" t="str">
        <f>C13</f>
        <v>N</v>
      </c>
      <c r="J32" s="111" t="str">
        <f>C13</f>
        <v>N</v>
      </c>
      <c r="K32" s="122" t="str">
        <f>C14</f>
        <v>V</v>
      </c>
      <c r="L32" s="123" t="str">
        <f>C14</f>
        <v>V</v>
      </c>
      <c r="M32" s="134" t="str">
        <f>C15</f>
        <v>ZD</v>
      </c>
      <c r="N32" s="135" t="str">
        <f>C15</f>
        <v>ZD</v>
      </c>
      <c r="O32" s="68"/>
      <c r="P32" s="68"/>
    </row>
    <row r="33" spans="2:16" ht="12.75">
      <c r="B33" s="68"/>
      <c r="C33" s="68"/>
      <c r="D33" s="68"/>
      <c r="E33" s="68"/>
      <c r="F33" s="89">
        <f>G11</f>
        <v>3.090909090909091</v>
      </c>
      <c r="G33" s="96">
        <f>G12</f>
        <v>1.8888888888888888</v>
      </c>
      <c r="H33" s="97">
        <f>G12</f>
        <v>1.8888888888888888</v>
      </c>
      <c r="I33" s="112">
        <f>G13</f>
        <v>1.2608695652173914</v>
      </c>
      <c r="J33" s="113">
        <f>G13</f>
        <v>1.2608695652173914</v>
      </c>
      <c r="K33" s="124">
        <f>G14</f>
        <v>0.9259259259259259</v>
      </c>
      <c r="L33" s="125">
        <f>G14</f>
        <v>0.9259259259259259</v>
      </c>
      <c r="M33" s="136">
        <f>G15</f>
        <v>0.7096774193548387</v>
      </c>
      <c r="N33" s="137">
        <f>G15</f>
        <v>0.7096774193548387</v>
      </c>
      <c r="O33" s="68"/>
      <c r="P33" s="68"/>
    </row>
    <row r="34" spans="2:16" ht="12.75" hidden="1">
      <c r="B34" s="84" t="s">
        <v>18</v>
      </c>
      <c r="C34" s="68"/>
      <c r="D34" s="68"/>
      <c r="E34" s="68"/>
      <c r="F34" s="90">
        <f>G18</f>
        <v>4.428571428571429</v>
      </c>
      <c r="G34" s="98">
        <f>G18</f>
        <v>4.428571428571429</v>
      </c>
      <c r="H34" s="99">
        <f>G18</f>
        <v>4.428571428571429</v>
      </c>
      <c r="I34" s="114">
        <f>G18</f>
        <v>4.428571428571429</v>
      </c>
      <c r="J34" s="115">
        <f>G18</f>
        <v>4.428571428571429</v>
      </c>
      <c r="K34" s="126">
        <f>G18</f>
        <v>4.428571428571429</v>
      </c>
      <c r="L34" s="127">
        <f>G18</f>
        <v>4.428571428571429</v>
      </c>
      <c r="M34" s="138">
        <f>G18</f>
        <v>4.428571428571429</v>
      </c>
      <c r="N34" s="139">
        <f>G18</f>
        <v>4.428571428571429</v>
      </c>
      <c r="O34" s="68"/>
      <c r="P34" s="68"/>
    </row>
    <row r="35" spans="2:16" ht="12.75" hidden="1">
      <c r="B35" s="84" t="s">
        <v>19</v>
      </c>
      <c r="C35" s="68"/>
      <c r="D35" s="68"/>
      <c r="E35" s="68"/>
      <c r="F35" s="88">
        <f>F31/F33/F34</f>
        <v>379.8861480075901</v>
      </c>
      <c r="G35" s="94">
        <f>F35</f>
        <v>379.8861480075901</v>
      </c>
      <c r="H35" s="95">
        <f>H31/H33/H34</f>
        <v>699.335863377609</v>
      </c>
      <c r="I35" s="110">
        <f>H35</f>
        <v>699.335863377609</v>
      </c>
      <c r="J35" s="111">
        <f>J31/J33/J34</f>
        <v>1164.0711902113458</v>
      </c>
      <c r="K35" s="122">
        <f>J35</f>
        <v>1164.0711902113458</v>
      </c>
      <c r="L35" s="123">
        <f>L31/L33/L34</f>
        <v>1585.1612903225805</v>
      </c>
      <c r="M35" s="134">
        <f>L35</f>
        <v>1585.1612903225805</v>
      </c>
      <c r="N35" s="135">
        <f>N31/N33/N34</f>
        <v>2068.181818181818</v>
      </c>
      <c r="O35" s="68"/>
      <c r="P35" s="68"/>
    </row>
    <row r="36" spans="2:16" ht="12.75" hidden="1">
      <c r="B36" s="84" t="s">
        <v>20</v>
      </c>
      <c r="C36" s="68"/>
      <c r="D36" s="68"/>
      <c r="E36" s="68"/>
      <c r="F36" s="88">
        <f>F35*60</f>
        <v>22793.168880455407</v>
      </c>
      <c r="G36" s="94">
        <f>F36</f>
        <v>22793.168880455407</v>
      </c>
      <c r="H36" s="95">
        <f>H35*60</f>
        <v>41960.15180265654</v>
      </c>
      <c r="I36" s="110">
        <f>H36</f>
        <v>41960.15180265654</v>
      </c>
      <c r="J36" s="111">
        <f>J35*60</f>
        <v>69844.27141268074</v>
      </c>
      <c r="K36" s="122">
        <f>J36</f>
        <v>69844.27141268074</v>
      </c>
      <c r="L36" s="123">
        <f>L35*60</f>
        <v>95109.67741935483</v>
      </c>
      <c r="M36" s="134">
        <f>L36</f>
        <v>95109.67741935483</v>
      </c>
      <c r="N36" s="135">
        <f>N35*60</f>
        <v>124090.90909090909</v>
      </c>
      <c r="O36" s="68"/>
      <c r="P36" s="68"/>
    </row>
    <row r="37" spans="2:16" ht="12.75" hidden="1">
      <c r="B37" s="4" t="s">
        <v>73</v>
      </c>
      <c r="C37" s="68"/>
      <c r="D37" s="68"/>
      <c r="E37" s="68"/>
      <c r="F37" s="90">
        <f>G21</f>
        <v>73.476</v>
      </c>
      <c r="G37" s="98">
        <f>G21</f>
        <v>73.476</v>
      </c>
      <c r="H37" s="99">
        <f>G21</f>
        <v>73.476</v>
      </c>
      <c r="I37" s="114">
        <f>G21</f>
        <v>73.476</v>
      </c>
      <c r="J37" s="115">
        <f>G21</f>
        <v>73.476</v>
      </c>
      <c r="K37" s="126">
        <f>G21</f>
        <v>73.476</v>
      </c>
      <c r="L37" s="127">
        <f>G21</f>
        <v>73.476</v>
      </c>
      <c r="M37" s="138">
        <f>G21</f>
        <v>73.476</v>
      </c>
      <c r="N37" s="139">
        <f>G21</f>
        <v>73.476</v>
      </c>
      <c r="O37" s="68"/>
      <c r="P37" s="68"/>
    </row>
    <row r="38" spans="2:16" ht="12.75" hidden="1">
      <c r="B38" s="84" t="s">
        <v>74</v>
      </c>
      <c r="C38" s="68"/>
      <c r="D38" s="68"/>
      <c r="E38" s="68"/>
      <c r="F38" s="88">
        <f>F36*F37</f>
        <v>1674750.8766603414</v>
      </c>
      <c r="G38" s="94">
        <f>F38</f>
        <v>1674750.8766603414</v>
      </c>
      <c r="H38" s="95">
        <f>H36*H37</f>
        <v>3083064.113851992</v>
      </c>
      <c r="I38" s="110">
        <f>H38</f>
        <v>3083064.113851992</v>
      </c>
      <c r="J38" s="111">
        <f>J36*J37</f>
        <v>5131877.68631813</v>
      </c>
      <c r="K38" s="122">
        <f>J38</f>
        <v>5131877.68631813</v>
      </c>
      <c r="L38" s="123">
        <f>L36*L37</f>
        <v>6988278.658064515</v>
      </c>
      <c r="M38" s="134">
        <f>L38</f>
        <v>6988278.658064515</v>
      </c>
      <c r="N38" s="135">
        <f>N36*N37</f>
        <v>9117703.636363637</v>
      </c>
      <c r="O38" s="68"/>
      <c r="P38" s="68"/>
    </row>
    <row r="39" spans="2:16" ht="12.75" hidden="1">
      <c r="B39" s="84" t="s">
        <v>8</v>
      </c>
      <c r="C39" s="68"/>
      <c r="D39" s="68"/>
      <c r="E39" s="68"/>
      <c r="F39" s="88">
        <f>J21</f>
        <v>63360</v>
      </c>
      <c r="G39" s="94">
        <f>J21</f>
        <v>63360</v>
      </c>
      <c r="H39" s="100">
        <f>J21</f>
        <v>63360</v>
      </c>
      <c r="I39" s="116">
        <f>J21</f>
        <v>63360</v>
      </c>
      <c r="J39" s="117">
        <f>J21</f>
        <v>63360</v>
      </c>
      <c r="K39" s="128">
        <f>J21</f>
        <v>63360</v>
      </c>
      <c r="L39" s="129">
        <f>J21</f>
        <v>63360</v>
      </c>
      <c r="M39" s="140">
        <f>J21</f>
        <v>63360</v>
      </c>
      <c r="N39" s="141">
        <f>J21</f>
        <v>63360</v>
      </c>
      <c r="O39" s="68"/>
      <c r="P39" s="68"/>
    </row>
    <row r="40" spans="2:16" ht="12.75">
      <c r="B40" s="84" t="s">
        <v>21</v>
      </c>
      <c r="C40" s="68"/>
      <c r="D40" s="68"/>
      <c r="E40" s="68"/>
      <c r="F40" s="91">
        <f>F38/F39</f>
        <v>26.432305502846297</v>
      </c>
      <c r="G40" s="101">
        <f>F40</f>
        <v>26.432305502846297</v>
      </c>
      <c r="H40" s="102">
        <f>H38/H39</f>
        <v>48.65947149387613</v>
      </c>
      <c r="I40" s="118">
        <f>H40</f>
        <v>48.65947149387613</v>
      </c>
      <c r="J40" s="119">
        <f>J38/J39</f>
        <v>80.99554429163716</v>
      </c>
      <c r="K40" s="130">
        <f>J40</f>
        <v>80.99554429163716</v>
      </c>
      <c r="L40" s="131">
        <f>L38/L39</f>
        <v>110.29480205278591</v>
      </c>
      <c r="M40" s="142">
        <f>L40</f>
        <v>110.29480205278591</v>
      </c>
      <c r="N40" s="143">
        <f>N38/N39</f>
        <v>143.90315082644628</v>
      </c>
      <c r="O40" s="68"/>
      <c r="P40" s="68"/>
    </row>
    <row r="41" spans="2:16" ht="12.75">
      <c r="B41" s="68"/>
      <c r="C41" s="68"/>
      <c r="D41" s="68"/>
      <c r="E41" s="68"/>
      <c r="F41" s="66"/>
      <c r="G41" s="66"/>
      <c r="H41" s="68"/>
      <c r="I41" s="68"/>
      <c r="J41" s="68"/>
      <c r="K41" s="68"/>
      <c r="L41" s="68"/>
      <c r="M41" s="68"/>
      <c r="N41" s="68"/>
      <c r="O41" s="68"/>
      <c r="P41" s="68"/>
    </row>
    <row r="42" spans="2:18" ht="12.75">
      <c r="B42" s="68"/>
      <c r="C42" s="68"/>
      <c r="D42" s="68"/>
      <c r="E42" s="68"/>
      <c r="F42" s="66"/>
      <c r="G42" s="66"/>
      <c r="H42" s="68"/>
      <c r="I42" s="68"/>
      <c r="J42" s="68"/>
      <c r="K42" s="68"/>
      <c r="L42" s="68"/>
      <c r="M42" s="68"/>
      <c r="N42" s="68"/>
      <c r="O42" s="68"/>
      <c r="R42" t="str">
        <f>CONCATENATE(F28,"  (",C11," - ",C12," - ",C13," - ",C14," - ",C15,")")</f>
        <v>914-4 901 Stock Gear Ratios -- 23.4'' tire diameter -- 6500 Redline   (A - F - N - V - ZD)</v>
      </c>
    </row>
    <row r="43" spans="2:15" ht="12.75">
      <c r="B43" s="68"/>
      <c r="C43" s="68"/>
      <c r="D43" s="68"/>
      <c r="E43" s="68"/>
      <c r="F43" s="66"/>
      <c r="G43" s="66"/>
      <c r="H43" s="68"/>
      <c r="I43" s="68"/>
      <c r="J43" s="68"/>
      <c r="K43" s="68"/>
      <c r="L43" s="68"/>
      <c r="M43" s="68"/>
      <c r="N43" s="68"/>
      <c r="O43" s="68"/>
    </row>
    <row r="44" spans="2:15" ht="12.75">
      <c r="B44" s="68"/>
      <c r="C44" s="68"/>
      <c r="D44" s="68"/>
      <c r="E44" s="68"/>
      <c r="F44" s="66"/>
      <c r="G44" s="66"/>
      <c r="H44" s="68"/>
      <c r="I44" s="68"/>
      <c r="J44" s="68"/>
      <c r="K44" s="68"/>
      <c r="L44" s="68"/>
      <c r="M44" s="68"/>
      <c r="N44" s="68"/>
      <c r="O44" s="68"/>
    </row>
    <row r="45" spans="2:23" ht="12.75">
      <c r="B45" s="68"/>
      <c r="C45" s="68"/>
      <c r="D45" s="68"/>
      <c r="E45" s="68"/>
      <c r="F45" s="66"/>
      <c r="G45" s="66"/>
      <c r="H45" s="68"/>
      <c r="I45" s="68"/>
      <c r="J45" s="68"/>
      <c r="K45" s="68"/>
      <c r="L45" s="68"/>
      <c r="M45" s="68"/>
      <c r="N45" s="68"/>
      <c r="O45" s="68"/>
      <c r="R45" t="str">
        <f>CONCATENATE("1st - ",C11)</f>
        <v>1st - A</v>
      </c>
      <c r="S45" t="str">
        <f>CONCATENATE("2nd - ",C12)</f>
        <v>2nd - F</v>
      </c>
      <c r="T45" t="str">
        <f>CONCATENATE("3rd - ",C13)</f>
        <v>3rd - N</v>
      </c>
      <c r="U45" t="str">
        <f>CONCATENATE("4th - ",C14)</f>
        <v>4th - V</v>
      </c>
      <c r="V45" t="str">
        <f>CONCATENATE("5th - ",C15)</f>
        <v>5th - ZD</v>
      </c>
      <c r="W45" t="s">
        <v>90</v>
      </c>
    </row>
    <row r="46" spans="2:23" ht="12.75">
      <c r="B46" s="68"/>
      <c r="C46" s="68"/>
      <c r="D46" s="68"/>
      <c r="E46" s="68"/>
      <c r="F46" s="66"/>
      <c r="G46" s="66"/>
      <c r="H46" s="68"/>
      <c r="I46" s="68"/>
      <c r="J46" s="68"/>
      <c r="K46" s="68"/>
      <c r="L46" s="68"/>
      <c r="M46" s="68"/>
      <c r="N46" s="68"/>
      <c r="O46" s="68"/>
      <c r="Q46">
        <v>0</v>
      </c>
      <c r="R46" s="2">
        <f aca="true" t="shared" si="0" ref="R46:R76">IF(((((Q46*$J$21)/$G$21/60)*$G$18*$F$33)&lt;$J$23),(((Q46*$J$21)/$G$21/60)*$G$18*$F$33),NA())</f>
        <v>0</v>
      </c>
      <c r="S46" s="2" t="e">
        <f aca="true" t="shared" si="1" ref="S46:S76">IF(((((Q46*$J$21)/$G$21/60)*$G$18*$G$12)&lt;$J$24)*AND(ISNA(R47)),(((Q46*$J$21)/$G$21/60)*$G$18*$G$33),NA())</f>
        <v>#N/A</v>
      </c>
      <c r="T46" s="2" t="e">
        <f aca="true" t="shared" si="2" ref="T46:T76">IF(((((Q46*$J$21)/$G$21/60)*$G$18*$G$13)&lt;$C$23+100)*AND(ISNA(R47))*AND(ISNA(S47)),(((Q46*$J$21)/$G$21/60)*$G$18*$I$33),NA())</f>
        <v>#N/A</v>
      </c>
      <c r="U46" s="2" t="e">
        <f aca="true" t="shared" si="3" ref="U46:U76">IF(((((Q46*$J$21)/$G$21/60)*$G$18*$G$14)&lt;$C$23+100)*AND(ISNA(R47))*AND(ISNA(S47))*AND(ISNA(T47)),(((Q46*$J$21)/$G$21/60)*$G$18*$K$33),NA())</f>
        <v>#N/A</v>
      </c>
      <c r="V46" s="2" t="e">
        <f aca="true" t="shared" si="4" ref="V46:V76">IF(((((Q46*$J$21)/$G$21/60)*$G$18*$G$15)&lt;$C$23+100)*AND(ISNA(R47))*AND(ISNA(S47))*AND(ISNA(T47))*AND(ISNA(U47)),(((Q46*$J$21)/$G$21/60)*$G$18*$M$33),NA())</f>
        <v>#N/A</v>
      </c>
      <c r="W46">
        <f>IF(ISNA(R46),(IF((ISNA(S46)),$C$23,$J$24)),$J$23)</f>
        <v>5200</v>
      </c>
    </row>
    <row r="47" spans="2:23" ht="12.75">
      <c r="B47" s="68"/>
      <c r="C47" s="68"/>
      <c r="D47" s="68"/>
      <c r="E47" s="68"/>
      <c r="F47" s="66"/>
      <c r="G47" s="66"/>
      <c r="H47" s="68"/>
      <c r="I47" s="68"/>
      <c r="J47" s="68"/>
      <c r="K47" s="68"/>
      <c r="L47" s="68"/>
      <c r="M47" s="68"/>
      <c r="N47" s="68"/>
      <c r="O47" s="68"/>
      <c r="Q47">
        <v>5</v>
      </c>
      <c r="R47" s="2">
        <f t="shared" si="0"/>
        <v>983.6448053008563</v>
      </c>
      <c r="S47" s="2" t="e">
        <f t="shared" si="1"/>
        <v>#N/A</v>
      </c>
      <c r="T47" s="2" t="e">
        <f t="shared" si="2"/>
        <v>#N/A</v>
      </c>
      <c r="U47" s="2" t="e">
        <f t="shared" si="3"/>
        <v>#N/A</v>
      </c>
      <c r="V47" s="2" t="e">
        <f t="shared" si="4"/>
        <v>#N/A</v>
      </c>
      <c r="W47">
        <f>IF(ISNA(R47),(IF((ISNA(S47)),$C$23,$J$24)),$J$23)</f>
        <v>5200</v>
      </c>
    </row>
    <row r="48" spans="2:23" ht="12.75">
      <c r="B48" s="68"/>
      <c r="C48" s="68"/>
      <c r="D48" s="68"/>
      <c r="E48" s="68"/>
      <c r="F48" s="66"/>
      <c r="G48" s="66"/>
      <c r="H48" s="68"/>
      <c r="I48" s="68"/>
      <c r="J48" s="68"/>
      <c r="K48" s="68"/>
      <c r="L48" s="68"/>
      <c r="M48" s="68"/>
      <c r="N48" s="68"/>
      <c r="O48" s="68"/>
      <c r="Q48">
        <v>10</v>
      </c>
      <c r="R48" s="2">
        <f t="shared" si="0"/>
        <v>1967.2896106017126</v>
      </c>
      <c r="S48" s="2" t="e">
        <f t="shared" si="1"/>
        <v>#N/A</v>
      </c>
      <c r="T48" s="2" t="e">
        <f t="shared" si="2"/>
        <v>#N/A</v>
      </c>
      <c r="U48" s="2" t="e">
        <f t="shared" si="3"/>
        <v>#N/A</v>
      </c>
      <c r="V48" s="2" t="e">
        <f t="shared" si="4"/>
        <v>#N/A</v>
      </c>
      <c r="W48">
        <f aca="true" t="shared" si="5" ref="W48:W76">IF(ISNA(R48),(IF((ISNA(S48)),$C$23,$J$24)),$J$23)</f>
        <v>5200</v>
      </c>
    </row>
    <row r="49" spans="2:23" ht="12.75">
      <c r="B49" s="68"/>
      <c r="C49" s="68"/>
      <c r="D49" s="68"/>
      <c r="E49" s="68"/>
      <c r="F49" s="66"/>
      <c r="G49" s="66"/>
      <c r="H49" s="68"/>
      <c r="I49" s="68"/>
      <c r="J49" s="68"/>
      <c r="K49" s="68"/>
      <c r="L49" s="68"/>
      <c r="M49" s="68"/>
      <c r="N49" s="68"/>
      <c r="O49" s="68"/>
      <c r="Q49">
        <v>15</v>
      </c>
      <c r="R49" s="2">
        <f t="shared" si="0"/>
        <v>2950.9344159025686</v>
      </c>
      <c r="S49" s="2" t="e">
        <f t="shared" si="1"/>
        <v>#N/A</v>
      </c>
      <c r="T49" s="2" t="e">
        <f t="shared" si="2"/>
        <v>#N/A</v>
      </c>
      <c r="U49" s="2" t="e">
        <f t="shared" si="3"/>
        <v>#N/A</v>
      </c>
      <c r="V49" s="2" t="e">
        <f t="shared" si="4"/>
        <v>#N/A</v>
      </c>
      <c r="W49">
        <f t="shared" si="5"/>
        <v>5200</v>
      </c>
    </row>
    <row r="50" spans="2:23" ht="12.75">
      <c r="B50" s="68"/>
      <c r="C50" s="68"/>
      <c r="D50" s="68"/>
      <c r="E50" s="68"/>
      <c r="F50" s="66"/>
      <c r="G50" s="66"/>
      <c r="H50" s="68"/>
      <c r="I50" s="68"/>
      <c r="J50" s="68"/>
      <c r="K50" s="68"/>
      <c r="L50" s="68"/>
      <c r="M50" s="68"/>
      <c r="N50" s="68"/>
      <c r="O50" s="68"/>
      <c r="Q50">
        <v>20</v>
      </c>
      <c r="R50" s="2">
        <f t="shared" si="0"/>
        <v>3934.5792212034253</v>
      </c>
      <c r="S50" s="2" t="e">
        <f t="shared" si="1"/>
        <v>#N/A</v>
      </c>
      <c r="T50" s="2" t="e">
        <f t="shared" si="2"/>
        <v>#N/A</v>
      </c>
      <c r="U50" s="2" t="e">
        <f t="shared" si="3"/>
        <v>#N/A</v>
      </c>
      <c r="V50" s="2" t="e">
        <f t="shared" si="4"/>
        <v>#N/A</v>
      </c>
      <c r="W50">
        <f t="shared" si="5"/>
        <v>5200</v>
      </c>
    </row>
    <row r="51" spans="2:23" ht="12.75">
      <c r="B51" s="68"/>
      <c r="C51" s="68"/>
      <c r="D51" s="68"/>
      <c r="E51" s="68"/>
      <c r="F51" s="66"/>
      <c r="G51" s="66"/>
      <c r="H51" s="68"/>
      <c r="I51" s="68"/>
      <c r="J51" s="68"/>
      <c r="K51" s="68"/>
      <c r="L51" s="68"/>
      <c r="M51" s="68"/>
      <c r="N51" s="68"/>
      <c r="O51" s="68"/>
      <c r="Q51">
        <v>25</v>
      </c>
      <c r="R51" s="2">
        <f t="shared" si="0"/>
        <v>4918.224026504282</v>
      </c>
      <c r="S51" s="2">
        <f t="shared" si="1"/>
        <v>3005.581349530394</v>
      </c>
      <c r="T51" s="2" t="e">
        <f t="shared" si="2"/>
        <v>#N/A</v>
      </c>
      <c r="U51" s="2" t="e">
        <f t="shared" si="3"/>
        <v>#N/A</v>
      </c>
      <c r="V51" s="2" t="e">
        <f t="shared" si="4"/>
        <v>#N/A</v>
      </c>
      <c r="W51">
        <f t="shared" si="5"/>
        <v>5200</v>
      </c>
    </row>
    <row r="52" spans="2:23" ht="12.75">
      <c r="B52" s="68"/>
      <c r="C52" s="68"/>
      <c r="D52" s="68"/>
      <c r="E52" s="68"/>
      <c r="F52" s="66"/>
      <c r="G52" s="66"/>
      <c r="H52" s="68"/>
      <c r="I52" s="68"/>
      <c r="J52" s="68"/>
      <c r="K52" s="68"/>
      <c r="L52" s="68"/>
      <c r="M52" s="68"/>
      <c r="N52" s="68"/>
      <c r="O52" s="68"/>
      <c r="Q52">
        <v>30</v>
      </c>
      <c r="R52" s="2" t="e">
        <f t="shared" si="0"/>
        <v>#N/A</v>
      </c>
      <c r="S52" s="2">
        <f t="shared" si="1"/>
        <v>3606.697619436473</v>
      </c>
      <c r="T52" s="2" t="e">
        <f t="shared" si="2"/>
        <v>#N/A</v>
      </c>
      <c r="U52" s="2" t="e">
        <f t="shared" si="3"/>
        <v>#N/A</v>
      </c>
      <c r="V52" s="2" t="e">
        <f t="shared" si="4"/>
        <v>#N/A</v>
      </c>
      <c r="W52">
        <f t="shared" si="5"/>
        <v>5850</v>
      </c>
    </row>
    <row r="53" spans="2:23" ht="12.75">
      <c r="B53" s="68"/>
      <c r="C53" s="68"/>
      <c r="D53" s="68"/>
      <c r="E53" s="68"/>
      <c r="F53" s="66"/>
      <c r="G53" s="66"/>
      <c r="H53" s="68"/>
      <c r="I53" s="68"/>
      <c r="J53" s="68"/>
      <c r="K53" s="68"/>
      <c r="L53" s="68"/>
      <c r="M53" s="68"/>
      <c r="N53" s="68"/>
      <c r="O53" s="68"/>
      <c r="Q53">
        <v>35</v>
      </c>
      <c r="R53" s="2" t="e">
        <f t="shared" si="0"/>
        <v>#N/A</v>
      </c>
      <c r="S53" s="2">
        <f t="shared" si="1"/>
        <v>4207.813889342552</v>
      </c>
      <c r="T53" s="2" t="e">
        <f t="shared" si="2"/>
        <v>#N/A</v>
      </c>
      <c r="U53" s="2" t="e">
        <f t="shared" si="3"/>
        <v>#N/A</v>
      </c>
      <c r="V53" s="2" t="e">
        <f t="shared" si="4"/>
        <v>#N/A</v>
      </c>
      <c r="W53">
        <f t="shared" si="5"/>
        <v>5850</v>
      </c>
    </row>
    <row r="54" spans="2:23" ht="12.75">
      <c r="B54" s="68"/>
      <c r="C54" s="68"/>
      <c r="D54" s="68"/>
      <c r="E54" s="68"/>
      <c r="F54" s="66"/>
      <c r="G54" s="66"/>
      <c r="H54" s="68"/>
      <c r="I54" s="68"/>
      <c r="J54" s="68"/>
      <c r="K54" s="68"/>
      <c r="L54" s="68"/>
      <c r="M54" s="68"/>
      <c r="N54" s="68"/>
      <c r="O54" s="68"/>
      <c r="Q54">
        <v>40</v>
      </c>
      <c r="R54" s="2" t="e">
        <f t="shared" si="0"/>
        <v>#N/A</v>
      </c>
      <c r="S54" s="2">
        <f t="shared" si="1"/>
        <v>4808.930159248631</v>
      </c>
      <c r="T54" s="2" t="e">
        <f t="shared" si="2"/>
        <v>#N/A</v>
      </c>
      <c r="U54" s="2" t="e">
        <f t="shared" si="3"/>
        <v>#N/A</v>
      </c>
      <c r="V54" s="2" t="e">
        <f t="shared" si="4"/>
        <v>#N/A</v>
      </c>
      <c r="W54">
        <f t="shared" si="5"/>
        <v>5850</v>
      </c>
    </row>
    <row r="55" spans="2:23" ht="12.75">
      <c r="B55" s="68"/>
      <c r="C55" s="68"/>
      <c r="D55" s="68"/>
      <c r="E55" s="68"/>
      <c r="F55" s="66"/>
      <c r="G55" s="66"/>
      <c r="H55" s="68"/>
      <c r="I55" s="68"/>
      <c r="J55" s="68"/>
      <c r="K55" s="68"/>
      <c r="L55" s="68"/>
      <c r="M55" s="68"/>
      <c r="N55" s="68"/>
      <c r="O55" s="68"/>
      <c r="Q55">
        <v>45</v>
      </c>
      <c r="R55" s="2" t="e">
        <f t="shared" si="0"/>
        <v>#N/A</v>
      </c>
      <c r="S55" s="2">
        <f t="shared" si="1"/>
        <v>5410.0464291547105</v>
      </c>
      <c r="T55" s="2">
        <f t="shared" si="2"/>
        <v>3611.3097647298705</v>
      </c>
      <c r="U55" s="2" t="e">
        <f t="shared" si="3"/>
        <v>#N/A</v>
      </c>
      <c r="V55" s="2" t="e">
        <f t="shared" si="4"/>
        <v>#N/A</v>
      </c>
      <c r="W55">
        <f t="shared" si="5"/>
        <v>5850</v>
      </c>
    </row>
    <row r="56" spans="2:23" ht="12.75">
      <c r="B56" s="68"/>
      <c r="C56" s="68"/>
      <c r="D56" s="68"/>
      <c r="E56" s="68"/>
      <c r="F56" s="66"/>
      <c r="G56" s="66"/>
      <c r="H56" s="68"/>
      <c r="I56" s="68"/>
      <c r="J56" s="68"/>
      <c r="K56" s="68"/>
      <c r="L56" s="68"/>
      <c r="M56" s="68"/>
      <c r="N56" s="68"/>
      <c r="O56" s="68"/>
      <c r="Q56">
        <v>50</v>
      </c>
      <c r="R56" s="2" t="e">
        <f t="shared" si="0"/>
        <v>#N/A</v>
      </c>
      <c r="S56" s="2" t="e">
        <f t="shared" si="1"/>
        <v>#N/A</v>
      </c>
      <c r="T56" s="2">
        <f t="shared" si="2"/>
        <v>4012.5664052554116</v>
      </c>
      <c r="U56" s="2" t="e">
        <f t="shared" si="3"/>
        <v>#N/A</v>
      </c>
      <c r="V56" s="2" t="e">
        <f t="shared" si="4"/>
        <v>#N/A</v>
      </c>
      <c r="W56">
        <f t="shared" si="5"/>
        <v>6500</v>
      </c>
    </row>
    <row r="57" spans="2:23" ht="12.75">
      <c r="B57" s="68"/>
      <c r="C57" s="68"/>
      <c r="D57" s="68"/>
      <c r="E57" s="68"/>
      <c r="F57" s="66"/>
      <c r="G57" s="66"/>
      <c r="H57" s="68"/>
      <c r="I57" s="68"/>
      <c r="J57" s="68"/>
      <c r="K57" s="68"/>
      <c r="L57" s="68"/>
      <c r="M57" s="68"/>
      <c r="N57" s="68"/>
      <c r="O57" s="68"/>
      <c r="Q57">
        <v>55</v>
      </c>
      <c r="R57" s="2" t="e">
        <f t="shared" si="0"/>
        <v>#N/A</v>
      </c>
      <c r="S57" s="2" t="e">
        <f t="shared" si="1"/>
        <v>#N/A</v>
      </c>
      <c r="T57" s="2">
        <f t="shared" si="2"/>
        <v>4413.823045780952</v>
      </c>
      <c r="U57" s="2" t="e">
        <f t="shared" si="3"/>
        <v>#N/A</v>
      </c>
      <c r="V57" s="2" t="e">
        <f t="shared" si="4"/>
        <v>#N/A</v>
      </c>
      <c r="W57">
        <f t="shared" si="5"/>
        <v>6500</v>
      </c>
    </row>
    <row r="58" spans="2:23" ht="12.75">
      <c r="B58" s="68"/>
      <c r="C58" s="68"/>
      <c r="D58" s="68"/>
      <c r="E58" s="68"/>
      <c r="F58" s="66"/>
      <c r="G58" s="66"/>
      <c r="H58" s="68"/>
      <c r="I58" s="68"/>
      <c r="J58" s="68"/>
      <c r="K58" s="68"/>
      <c r="L58" s="68"/>
      <c r="M58" s="68"/>
      <c r="N58" s="68"/>
      <c r="O58" s="68"/>
      <c r="Q58">
        <v>60</v>
      </c>
      <c r="R58" s="2" t="e">
        <f t="shared" si="0"/>
        <v>#N/A</v>
      </c>
      <c r="S58" s="2" t="e">
        <f t="shared" si="1"/>
        <v>#N/A</v>
      </c>
      <c r="T58" s="2">
        <f t="shared" si="2"/>
        <v>4815.079686306493</v>
      </c>
      <c r="U58" s="2" t="e">
        <f t="shared" si="3"/>
        <v>#N/A</v>
      </c>
      <c r="V58" s="2" t="e">
        <f t="shared" si="4"/>
        <v>#N/A</v>
      </c>
      <c r="W58">
        <f t="shared" si="5"/>
        <v>6500</v>
      </c>
    </row>
    <row r="59" spans="2:23" ht="12.75">
      <c r="B59" s="68"/>
      <c r="C59" s="68"/>
      <c r="D59" s="68"/>
      <c r="E59" s="68"/>
      <c r="F59" s="66"/>
      <c r="G59" s="66"/>
      <c r="H59" s="68"/>
      <c r="I59" s="68"/>
      <c r="J59" s="68"/>
      <c r="K59" s="68"/>
      <c r="L59" s="68"/>
      <c r="M59" s="68"/>
      <c r="N59" s="68"/>
      <c r="O59" s="68"/>
      <c r="Q59">
        <v>65</v>
      </c>
      <c r="R59" s="2" t="e">
        <f t="shared" si="0"/>
        <v>#N/A</v>
      </c>
      <c r="S59" s="2" t="e">
        <f t="shared" si="1"/>
        <v>#N/A</v>
      </c>
      <c r="T59" s="2">
        <f t="shared" si="2"/>
        <v>5216.3363268320345</v>
      </c>
      <c r="U59" s="2" t="e">
        <f t="shared" si="3"/>
        <v>#N/A</v>
      </c>
      <c r="V59" s="2" t="e">
        <f t="shared" si="4"/>
        <v>#N/A</v>
      </c>
      <c r="W59">
        <f t="shared" si="5"/>
        <v>6500</v>
      </c>
    </row>
    <row r="60" spans="2:23" ht="12.75">
      <c r="B60" s="68"/>
      <c r="C60" s="68"/>
      <c r="D60" s="68"/>
      <c r="E60" s="68"/>
      <c r="F60" s="66"/>
      <c r="G60" s="66"/>
      <c r="H60" s="68"/>
      <c r="I60" s="68"/>
      <c r="J60" s="68"/>
      <c r="K60" s="68"/>
      <c r="L60" s="68"/>
      <c r="M60" s="68"/>
      <c r="N60" s="68"/>
      <c r="O60" s="68"/>
      <c r="Q60">
        <v>70</v>
      </c>
      <c r="R60" s="2" t="e">
        <f t="shared" si="0"/>
        <v>#N/A</v>
      </c>
      <c r="S60" s="2" t="e">
        <f t="shared" si="1"/>
        <v>#N/A</v>
      </c>
      <c r="T60" s="2">
        <f t="shared" si="2"/>
        <v>5617.5929673575765</v>
      </c>
      <c r="U60" s="2" t="e">
        <f t="shared" si="3"/>
        <v>#N/A</v>
      </c>
      <c r="V60" s="2" t="e">
        <f t="shared" si="4"/>
        <v>#N/A</v>
      </c>
      <c r="W60">
        <f t="shared" si="5"/>
        <v>6500</v>
      </c>
    </row>
    <row r="61" spans="2:23" ht="12.75">
      <c r="B61" s="68"/>
      <c r="C61" s="68"/>
      <c r="D61" s="68"/>
      <c r="E61" s="68"/>
      <c r="F61" s="66"/>
      <c r="G61" s="66"/>
      <c r="H61" s="68"/>
      <c r="I61" s="68"/>
      <c r="J61" s="68"/>
      <c r="K61" s="68"/>
      <c r="L61" s="68"/>
      <c r="M61" s="68"/>
      <c r="N61" s="68"/>
      <c r="O61" s="68"/>
      <c r="Q61">
        <v>75</v>
      </c>
      <c r="R61" s="2" t="e">
        <f t="shared" si="0"/>
        <v>#N/A</v>
      </c>
      <c r="S61" s="2" t="e">
        <f t="shared" si="1"/>
        <v>#N/A</v>
      </c>
      <c r="T61" s="2">
        <f t="shared" si="2"/>
        <v>6018.849607883117</v>
      </c>
      <c r="U61" s="2" t="e">
        <f t="shared" si="3"/>
        <v>#N/A</v>
      </c>
      <c r="V61" s="2" t="e">
        <f t="shared" si="4"/>
        <v>#N/A</v>
      </c>
      <c r="W61">
        <f t="shared" si="5"/>
        <v>6500</v>
      </c>
    </row>
    <row r="62" spans="2:23" ht="12.75">
      <c r="B62" s="68"/>
      <c r="C62" s="68"/>
      <c r="D62" s="68"/>
      <c r="E62" s="68"/>
      <c r="F62" s="66"/>
      <c r="G62" s="66"/>
      <c r="H62" s="68"/>
      <c r="I62" s="68"/>
      <c r="J62" s="68"/>
      <c r="K62" s="68"/>
      <c r="L62" s="68"/>
      <c r="M62" s="68"/>
      <c r="N62" s="68"/>
      <c r="O62" s="68"/>
      <c r="Q62">
        <v>80</v>
      </c>
      <c r="R62" s="2" t="e">
        <f t="shared" si="0"/>
        <v>#N/A</v>
      </c>
      <c r="S62" s="2" t="e">
        <f t="shared" si="1"/>
        <v>#N/A</v>
      </c>
      <c r="T62" s="2">
        <f t="shared" si="2"/>
        <v>6420.106248408659</v>
      </c>
      <c r="U62" s="2">
        <f t="shared" si="3"/>
        <v>4714.637411028069</v>
      </c>
      <c r="V62" s="2" t="e">
        <f t="shared" si="4"/>
        <v>#N/A</v>
      </c>
      <c r="W62">
        <f t="shared" si="5"/>
        <v>6500</v>
      </c>
    </row>
    <row r="63" spans="2:23" ht="12.75">
      <c r="B63" s="68"/>
      <c r="C63" s="68"/>
      <c r="D63" s="68"/>
      <c r="E63" s="68"/>
      <c r="F63" s="66"/>
      <c r="G63" s="66"/>
      <c r="H63" s="68"/>
      <c r="I63" s="68"/>
      <c r="J63" s="68"/>
      <c r="K63" s="68"/>
      <c r="L63" s="68"/>
      <c r="M63" s="68"/>
      <c r="N63" s="68"/>
      <c r="O63" s="68"/>
      <c r="Q63">
        <v>85</v>
      </c>
      <c r="R63" s="2" t="e">
        <f t="shared" si="0"/>
        <v>#N/A</v>
      </c>
      <c r="S63" s="2" t="e">
        <f t="shared" si="1"/>
        <v>#N/A</v>
      </c>
      <c r="T63" s="2" t="e">
        <f t="shared" si="2"/>
        <v>#N/A</v>
      </c>
      <c r="U63" s="2">
        <f t="shared" si="3"/>
        <v>5009.302249217325</v>
      </c>
      <c r="V63" s="2" t="e">
        <f t="shared" si="4"/>
        <v>#N/A</v>
      </c>
      <c r="W63">
        <f t="shared" si="5"/>
        <v>6500</v>
      </c>
    </row>
    <row r="64" spans="2:23" ht="12.75">
      <c r="B64" s="68"/>
      <c r="C64" s="68"/>
      <c r="D64" s="68"/>
      <c r="E64" s="68"/>
      <c r="F64" s="66"/>
      <c r="G64" s="66"/>
      <c r="H64" s="68"/>
      <c r="I64" s="68"/>
      <c r="J64" s="68"/>
      <c r="K64" s="68"/>
      <c r="L64" s="68"/>
      <c r="M64" s="68"/>
      <c r="N64" s="68"/>
      <c r="O64" s="68"/>
      <c r="Q64">
        <v>90</v>
      </c>
      <c r="R64" s="2" t="e">
        <f t="shared" si="0"/>
        <v>#N/A</v>
      </c>
      <c r="S64" s="2" t="e">
        <f t="shared" si="1"/>
        <v>#N/A</v>
      </c>
      <c r="T64" s="2" t="e">
        <f t="shared" si="2"/>
        <v>#N/A</v>
      </c>
      <c r="U64" s="2">
        <f t="shared" si="3"/>
        <v>5303.967087406579</v>
      </c>
      <c r="V64" s="2" t="e">
        <f t="shared" si="4"/>
        <v>#N/A</v>
      </c>
      <c r="W64">
        <f t="shared" si="5"/>
        <v>6500</v>
      </c>
    </row>
    <row r="65" spans="2:23" ht="12.75">
      <c r="B65" s="68"/>
      <c r="C65" s="68"/>
      <c r="D65" s="68"/>
      <c r="E65" s="68"/>
      <c r="F65" s="66"/>
      <c r="G65" s="66"/>
      <c r="H65" s="68"/>
      <c r="I65" s="68"/>
      <c r="J65" s="68"/>
      <c r="K65" s="68"/>
      <c r="L65" s="68"/>
      <c r="M65" s="68"/>
      <c r="N65" s="68"/>
      <c r="O65" s="68"/>
      <c r="Q65">
        <v>95</v>
      </c>
      <c r="R65" s="2" t="e">
        <f t="shared" si="0"/>
        <v>#N/A</v>
      </c>
      <c r="S65" s="2" t="e">
        <f t="shared" si="1"/>
        <v>#N/A</v>
      </c>
      <c r="T65" s="2" t="e">
        <f t="shared" si="2"/>
        <v>#N/A</v>
      </c>
      <c r="U65" s="2">
        <f t="shared" si="3"/>
        <v>5598.631925595833</v>
      </c>
      <c r="V65" s="2" t="e">
        <f t="shared" si="4"/>
        <v>#N/A</v>
      </c>
      <c r="W65">
        <f t="shared" si="5"/>
        <v>6500</v>
      </c>
    </row>
    <row r="66" spans="2:23" ht="12.75">
      <c r="B66" s="68"/>
      <c r="C66" s="68"/>
      <c r="D66" s="68"/>
      <c r="E66" s="68"/>
      <c r="F66" s="66"/>
      <c r="G66" s="66"/>
      <c r="H66" s="68"/>
      <c r="I66" s="68"/>
      <c r="J66" s="68"/>
      <c r="K66" s="68"/>
      <c r="L66" s="68"/>
      <c r="M66" s="68"/>
      <c r="N66" s="68"/>
      <c r="O66" s="68"/>
      <c r="Q66">
        <v>100</v>
      </c>
      <c r="R66" s="2" t="e">
        <f t="shared" si="0"/>
        <v>#N/A</v>
      </c>
      <c r="S66" s="2" t="e">
        <f t="shared" si="1"/>
        <v>#N/A</v>
      </c>
      <c r="T66" s="2" t="e">
        <f t="shared" si="2"/>
        <v>#N/A</v>
      </c>
      <c r="U66" s="2">
        <f t="shared" si="3"/>
        <v>5893.296763785087</v>
      </c>
      <c r="V66" s="2" t="e">
        <f t="shared" si="4"/>
        <v>#N/A</v>
      </c>
      <c r="W66">
        <f t="shared" si="5"/>
        <v>6500</v>
      </c>
    </row>
    <row r="67" spans="2:23" ht="12.75">
      <c r="B67" s="68"/>
      <c r="C67" s="68"/>
      <c r="D67" s="68"/>
      <c r="E67" s="68"/>
      <c r="F67" s="66"/>
      <c r="G67" s="66"/>
      <c r="H67" s="68"/>
      <c r="I67" s="68"/>
      <c r="J67" s="68"/>
      <c r="K67" s="68"/>
      <c r="L67" s="68"/>
      <c r="M67" s="68"/>
      <c r="N67" s="68"/>
      <c r="O67" s="68"/>
      <c r="Q67">
        <v>105</v>
      </c>
      <c r="R67" s="2" t="e">
        <f t="shared" si="0"/>
        <v>#N/A</v>
      </c>
      <c r="S67" s="2" t="e">
        <f t="shared" si="1"/>
        <v>#N/A</v>
      </c>
      <c r="T67" s="2" t="e">
        <f t="shared" si="2"/>
        <v>#N/A</v>
      </c>
      <c r="U67" s="2">
        <f t="shared" si="3"/>
        <v>6187.961601974341</v>
      </c>
      <c r="V67" s="2" t="e">
        <f t="shared" si="4"/>
        <v>#N/A</v>
      </c>
      <c r="W67">
        <f t="shared" si="5"/>
        <v>6500</v>
      </c>
    </row>
    <row r="68" spans="2:23" ht="12.75">
      <c r="B68" s="68"/>
      <c r="C68" s="68"/>
      <c r="D68" s="68"/>
      <c r="E68" s="68"/>
      <c r="F68" s="66"/>
      <c r="G68" s="66"/>
      <c r="H68" s="68"/>
      <c r="I68" s="68"/>
      <c r="J68" s="68"/>
      <c r="K68" s="68"/>
      <c r="L68" s="68"/>
      <c r="M68" s="68"/>
      <c r="N68" s="68"/>
      <c r="O68" s="68"/>
      <c r="Q68">
        <v>110</v>
      </c>
      <c r="R68" s="2" t="e">
        <f t="shared" si="0"/>
        <v>#N/A</v>
      </c>
      <c r="S68" s="2" t="e">
        <f t="shared" si="1"/>
        <v>#N/A</v>
      </c>
      <c r="T68" s="2" t="e">
        <f t="shared" si="2"/>
        <v>#N/A</v>
      </c>
      <c r="U68" s="2">
        <f t="shared" si="3"/>
        <v>6482.626440163595</v>
      </c>
      <c r="V68" s="2">
        <f t="shared" si="4"/>
        <v>4968.619490912485</v>
      </c>
      <c r="W68">
        <f t="shared" si="5"/>
        <v>6500</v>
      </c>
    </row>
    <row r="69" spans="2:23" ht="12.75">
      <c r="B69" s="68"/>
      <c r="C69" s="68"/>
      <c r="D69" s="68"/>
      <c r="E69" s="68"/>
      <c r="F69" s="66"/>
      <c r="G69" s="66"/>
      <c r="H69" s="68"/>
      <c r="I69" s="68"/>
      <c r="J69" s="68"/>
      <c r="K69" s="68"/>
      <c r="L69" s="68"/>
      <c r="M69" s="68"/>
      <c r="N69" s="68"/>
      <c r="O69" s="68"/>
      <c r="Q69">
        <v>115</v>
      </c>
      <c r="R69" s="2" t="e">
        <f t="shared" si="0"/>
        <v>#N/A</v>
      </c>
      <c r="S69" s="2" t="e">
        <f t="shared" si="1"/>
        <v>#N/A</v>
      </c>
      <c r="T69" s="2" t="e">
        <f t="shared" si="2"/>
        <v>#N/A</v>
      </c>
      <c r="U69" s="2" t="e">
        <f t="shared" si="3"/>
        <v>#N/A</v>
      </c>
      <c r="V69" s="2">
        <f t="shared" si="4"/>
        <v>5194.465831408507</v>
      </c>
      <c r="W69">
        <f t="shared" si="5"/>
        <v>6500</v>
      </c>
    </row>
    <row r="70" spans="2:23" ht="12.75">
      <c r="B70" s="68"/>
      <c r="C70" s="68"/>
      <c r="D70" s="68"/>
      <c r="E70" s="68"/>
      <c r="F70" s="66"/>
      <c r="G70" s="66"/>
      <c r="H70" s="68"/>
      <c r="I70" s="68"/>
      <c r="J70" s="68"/>
      <c r="K70" s="68"/>
      <c r="L70" s="68"/>
      <c r="M70" s="68"/>
      <c r="N70" s="68"/>
      <c r="O70" s="68"/>
      <c r="Q70">
        <v>120</v>
      </c>
      <c r="R70" s="2" t="e">
        <f t="shared" si="0"/>
        <v>#N/A</v>
      </c>
      <c r="S70" s="2" t="e">
        <f t="shared" si="1"/>
        <v>#N/A</v>
      </c>
      <c r="T70" s="2" t="e">
        <f t="shared" si="2"/>
        <v>#N/A</v>
      </c>
      <c r="U70" s="2" t="e">
        <f t="shared" si="3"/>
        <v>#N/A</v>
      </c>
      <c r="V70" s="2">
        <f t="shared" si="4"/>
        <v>5420.312171904528</v>
      </c>
      <c r="W70">
        <f t="shared" si="5"/>
        <v>6500</v>
      </c>
    </row>
    <row r="71" spans="2:23" ht="12.75">
      <c r="B71" s="68"/>
      <c r="C71" s="68"/>
      <c r="D71" s="68"/>
      <c r="E71" s="68"/>
      <c r="F71" s="66"/>
      <c r="G71" s="66"/>
      <c r="H71" s="68"/>
      <c r="I71" s="68"/>
      <c r="J71" s="68"/>
      <c r="K71" s="68"/>
      <c r="L71" s="68"/>
      <c r="M71" s="68"/>
      <c r="N71" s="68"/>
      <c r="O71" s="68"/>
      <c r="Q71">
        <v>125</v>
      </c>
      <c r="R71" s="2" t="e">
        <f t="shared" si="0"/>
        <v>#N/A</v>
      </c>
      <c r="S71" s="2" t="e">
        <f t="shared" si="1"/>
        <v>#N/A</v>
      </c>
      <c r="T71" s="2" t="e">
        <f t="shared" si="2"/>
        <v>#N/A</v>
      </c>
      <c r="U71" s="2" t="e">
        <f t="shared" si="3"/>
        <v>#N/A</v>
      </c>
      <c r="V71" s="2">
        <f t="shared" si="4"/>
        <v>5646.158512400551</v>
      </c>
      <c r="W71">
        <f t="shared" si="5"/>
        <v>6500</v>
      </c>
    </row>
    <row r="72" spans="2:23" ht="12.75">
      <c r="B72" s="68"/>
      <c r="C72" s="68"/>
      <c r="D72" s="68"/>
      <c r="E72" s="68"/>
      <c r="F72" s="66"/>
      <c r="G72" s="66"/>
      <c r="H72" s="68"/>
      <c r="I72" s="68"/>
      <c r="J72" s="68"/>
      <c r="K72" s="68"/>
      <c r="L72" s="68"/>
      <c r="M72" s="68"/>
      <c r="N72" s="68"/>
      <c r="O72" s="68"/>
      <c r="Q72">
        <v>130</v>
      </c>
      <c r="R72" s="2" t="e">
        <f t="shared" si="0"/>
        <v>#N/A</v>
      </c>
      <c r="S72" s="2" t="e">
        <f t="shared" si="1"/>
        <v>#N/A</v>
      </c>
      <c r="T72" s="2" t="e">
        <f t="shared" si="2"/>
        <v>#N/A</v>
      </c>
      <c r="U72" s="2" t="e">
        <f t="shared" si="3"/>
        <v>#N/A</v>
      </c>
      <c r="V72" s="2">
        <f t="shared" si="4"/>
        <v>5872.004852896573</v>
      </c>
      <c r="W72">
        <f t="shared" si="5"/>
        <v>6500</v>
      </c>
    </row>
    <row r="73" spans="2:23" ht="12.75">
      <c r="B73" s="68"/>
      <c r="C73" s="68"/>
      <c r="D73" s="68"/>
      <c r="E73" s="68"/>
      <c r="F73" s="66"/>
      <c r="G73" s="66"/>
      <c r="H73" s="68"/>
      <c r="I73" s="68"/>
      <c r="J73" s="68"/>
      <c r="K73" s="68"/>
      <c r="L73" s="68"/>
      <c r="M73" s="68"/>
      <c r="N73" s="68"/>
      <c r="O73" s="68"/>
      <c r="Q73">
        <v>135</v>
      </c>
      <c r="R73" s="2" t="e">
        <f t="shared" si="0"/>
        <v>#N/A</v>
      </c>
      <c r="S73" s="2" t="e">
        <f t="shared" si="1"/>
        <v>#N/A</v>
      </c>
      <c r="T73" s="2" t="e">
        <f t="shared" si="2"/>
        <v>#N/A</v>
      </c>
      <c r="U73" s="2" t="e">
        <f t="shared" si="3"/>
        <v>#N/A</v>
      </c>
      <c r="V73" s="2">
        <f t="shared" si="4"/>
        <v>6097.851193392596</v>
      </c>
      <c r="W73">
        <f t="shared" si="5"/>
        <v>6500</v>
      </c>
    </row>
    <row r="74" spans="1:23" ht="12.75">
      <c r="A74" s="210"/>
      <c r="B74" s="211"/>
      <c r="C74" s="211"/>
      <c r="D74" s="211"/>
      <c r="E74" s="211"/>
      <c r="F74" s="212"/>
      <c r="G74" s="212"/>
      <c r="H74" s="211"/>
      <c r="I74" s="211"/>
      <c r="J74" s="211"/>
      <c r="K74" s="211"/>
      <c r="L74" s="211"/>
      <c r="M74" s="211"/>
      <c r="N74" s="211"/>
      <c r="O74" s="211"/>
      <c r="Q74">
        <v>140</v>
      </c>
      <c r="R74" s="2" t="e">
        <f t="shared" si="0"/>
        <v>#N/A</v>
      </c>
      <c r="S74" s="2" t="e">
        <f t="shared" si="1"/>
        <v>#N/A</v>
      </c>
      <c r="T74" s="2" t="e">
        <f t="shared" si="2"/>
        <v>#N/A</v>
      </c>
      <c r="U74" s="2" t="e">
        <f t="shared" si="3"/>
        <v>#N/A</v>
      </c>
      <c r="V74" s="2">
        <f t="shared" si="4"/>
        <v>6323.697533888618</v>
      </c>
      <c r="W74">
        <f t="shared" si="5"/>
        <v>6500</v>
      </c>
    </row>
    <row r="75" spans="2:23" ht="12.75">
      <c r="B75" s="68"/>
      <c r="C75" s="68"/>
      <c r="D75" s="68"/>
      <c r="E75" s="68"/>
      <c r="F75" s="66"/>
      <c r="G75" s="66"/>
      <c r="H75" s="68"/>
      <c r="I75" s="68"/>
      <c r="J75" s="68"/>
      <c r="K75" s="68"/>
      <c r="L75" s="68"/>
      <c r="M75" s="68"/>
      <c r="N75" s="68"/>
      <c r="O75" s="68"/>
      <c r="Q75">
        <v>145</v>
      </c>
      <c r="R75" s="2" t="e">
        <f t="shared" si="0"/>
        <v>#N/A</v>
      </c>
      <c r="S75" s="2" t="e">
        <f t="shared" si="1"/>
        <v>#N/A</v>
      </c>
      <c r="T75" s="2" t="e">
        <f t="shared" si="2"/>
        <v>#N/A</v>
      </c>
      <c r="U75" s="2" t="e">
        <f t="shared" si="3"/>
        <v>#N/A</v>
      </c>
      <c r="V75" s="2">
        <f t="shared" si="4"/>
        <v>6549.543874384639</v>
      </c>
      <c r="W75">
        <f t="shared" si="5"/>
        <v>6500</v>
      </c>
    </row>
    <row r="76" spans="2:23" ht="12.75">
      <c r="B76" s="68"/>
      <c r="C76" s="68"/>
      <c r="D76" s="68"/>
      <c r="E76" s="68"/>
      <c r="F76" s="66"/>
      <c r="G76" s="66"/>
      <c r="H76" s="68"/>
      <c r="I76" s="68"/>
      <c r="J76" s="68"/>
      <c r="K76" s="68"/>
      <c r="L76" s="68"/>
      <c r="M76" s="68"/>
      <c r="N76" s="68"/>
      <c r="O76" s="68"/>
      <c r="Q76">
        <v>150</v>
      </c>
      <c r="R76" s="2" t="e">
        <f t="shared" si="0"/>
        <v>#N/A</v>
      </c>
      <c r="S76" s="2" t="e">
        <f t="shared" si="1"/>
        <v>#N/A</v>
      </c>
      <c r="T76" s="2" t="e">
        <f t="shared" si="2"/>
        <v>#N/A</v>
      </c>
      <c r="U76" s="2" t="e">
        <f t="shared" si="3"/>
        <v>#N/A</v>
      </c>
      <c r="V76" s="2" t="e">
        <f t="shared" si="4"/>
        <v>#N/A</v>
      </c>
      <c r="W76">
        <f t="shared" si="5"/>
        <v>6500</v>
      </c>
    </row>
    <row r="77" spans="2:21" ht="12.75">
      <c r="B77" s="68"/>
      <c r="C77" s="68"/>
      <c r="D77" s="68"/>
      <c r="E77" s="68"/>
      <c r="F77" s="66"/>
      <c r="G77" s="66"/>
      <c r="H77" s="68"/>
      <c r="I77" s="68"/>
      <c r="J77" s="68"/>
      <c r="K77" s="68"/>
      <c r="L77" s="68"/>
      <c r="M77" s="68"/>
      <c r="N77" s="68"/>
      <c r="O77" s="68"/>
      <c r="R77" s="2" t="e">
        <f>NA()</f>
        <v>#N/A</v>
      </c>
      <c r="S77" s="2" t="e">
        <f>NA()</f>
        <v>#N/A</v>
      </c>
      <c r="T77" s="2" t="e">
        <f>NA()</f>
        <v>#N/A</v>
      </c>
      <c r="U77" s="2" t="e">
        <f>NA()</f>
        <v>#N/A</v>
      </c>
    </row>
    <row r="78" ht="13.5" thickBot="1">
      <c r="G78" t="s">
        <v>22</v>
      </c>
    </row>
    <row r="79" spans="2:15" ht="14.25">
      <c r="B79" s="213" t="s">
        <v>172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5"/>
    </row>
    <row r="80" spans="2:15" ht="12.75">
      <c r="B80" s="82" t="s">
        <v>75</v>
      </c>
      <c r="C80" s="81" t="s">
        <v>155</v>
      </c>
      <c r="D80" s="73"/>
      <c r="E80" s="73"/>
      <c r="F80" s="73"/>
      <c r="G80" s="73"/>
      <c r="H80" s="73"/>
      <c r="I80" s="68"/>
      <c r="J80" s="68"/>
      <c r="K80" s="68"/>
      <c r="L80" s="68"/>
      <c r="M80" s="68"/>
      <c r="N80" s="68"/>
      <c r="O80" s="69"/>
    </row>
    <row r="81" spans="2:15" ht="12.75">
      <c r="B81" s="82"/>
      <c r="C81" s="199"/>
      <c r="D81" s="198"/>
      <c r="E81" s="198"/>
      <c r="F81" s="198"/>
      <c r="G81" s="198"/>
      <c r="H81" s="68"/>
      <c r="I81" s="68"/>
      <c r="J81" s="68"/>
      <c r="K81" s="68"/>
      <c r="L81" s="68"/>
      <c r="M81" s="68"/>
      <c r="N81" s="68"/>
      <c r="O81" s="69"/>
    </row>
    <row r="82" spans="2:15" ht="12.75">
      <c r="B82" s="65">
        <v>1</v>
      </c>
      <c r="C82" s="74" t="s">
        <v>0</v>
      </c>
      <c r="D82" s="236">
        <f>VLOOKUP(C82,$C$154:$G$160,2,FALSE)</f>
        <v>11</v>
      </c>
      <c r="E82" s="237" t="s">
        <v>1</v>
      </c>
      <c r="F82" s="202">
        <f>VLOOKUP(C82,$C$154:$G$160,4,FALSE)</f>
        <v>34</v>
      </c>
      <c r="G82" s="237">
        <f>F82/D82</f>
        <v>3.090909090909091</v>
      </c>
      <c r="H82" s="68"/>
      <c r="I82" s="68"/>
      <c r="J82" s="68"/>
      <c r="K82" s="68"/>
      <c r="L82" s="68"/>
      <c r="M82" s="68"/>
      <c r="N82" s="68"/>
      <c r="O82" s="69"/>
    </row>
    <row r="83" spans="2:15" ht="12.75">
      <c r="B83" s="65">
        <v>2</v>
      </c>
      <c r="C83" s="74" t="s">
        <v>56</v>
      </c>
      <c r="D83" s="236">
        <f>VLOOKUP($C$83,$C$162:$G$176,2,FALSE)</f>
        <v>18</v>
      </c>
      <c r="E83" s="237" t="s">
        <v>1</v>
      </c>
      <c r="F83" s="202">
        <f>VLOOKUP(C83,C162:G176,4,FALSE)</f>
        <v>32</v>
      </c>
      <c r="G83" s="237">
        <f>F83/D83</f>
        <v>1.7777777777777777</v>
      </c>
      <c r="H83" s="238" t="str">
        <f>VLOOKUP(C83,C162:H176,6,FALSE)</f>
        <v>Mainshaft w/gear</v>
      </c>
      <c r="I83" s="68"/>
      <c r="J83" s="68"/>
      <c r="K83" s="68"/>
      <c r="L83" s="68"/>
      <c r="M83" s="68"/>
      <c r="N83" s="68"/>
      <c r="O83" s="69"/>
    </row>
    <row r="84" spans="2:15" ht="12.75">
      <c r="B84" s="65">
        <v>3</v>
      </c>
      <c r="C84" s="75" t="s">
        <v>58</v>
      </c>
      <c r="D84" s="83">
        <f>VLOOKUP(C84,C178:G191,2,FALSE)</f>
        <v>22</v>
      </c>
      <c r="E84" s="237" t="s">
        <v>1</v>
      </c>
      <c r="F84" s="202">
        <f>VLOOKUP(C84,C178:G191,4,FALSE)</f>
        <v>31</v>
      </c>
      <c r="G84" s="237">
        <f>F84/D84</f>
        <v>1.4090909090909092</v>
      </c>
      <c r="H84" s="68"/>
      <c r="I84" s="68"/>
      <c r="J84" s="68"/>
      <c r="K84" s="68"/>
      <c r="L84" s="68"/>
      <c r="M84" s="68"/>
      <c r="N84" s="68"/>
      <c r="O84" s="69"/>
    </row>
    <row r="85" spans="2:15" ht="12.75">
      <c r="B85" s="65">
        <v>4</v>
      </c>
      <c r="C85" s="75" t="s">
        <v>23</v>
      </c>
      <c r="D85" s="83">
        <f>VLOOKUP(C85,C193:G210,2,FALSE)</f>
        <v>24</v>
      </c>
      <c r="E85" s="237" t="s">
        <v>1</v>
      </c>
      <c r="F85" s="202">
        <f>VLOOKUP(C85,C193:G210,4,FALSE)</f>
        <v>27</v>
      </c>
      <c r="G85" s="237">
        <f>F85/D85</f>
        <v>1.125</v>
      </c>
      <c r="H85" s="68"/>
      <c r="I85" s="68"/>
      <c r="J85" s="68"/>
      <c r="K85" s="68"/>
      <c r="L85" s="68"/>
      <c r="M85" s="68"/>
      <c r="N85" s="68"/>
      <c r="O85" s="69"/>
    </row>
    <row r="86" spans="2:15" ht="12.75">
      <c r="B86" s="65">
        <v>5</v>
      </c>
      <c r="C86" s="75" t="s">
        <v>4</v>
      </c>
      <c r="D86" s="83">
        <f>VLOOKUP(C86,C193:G215,2,FALSE)</f>
        <v>27</v>
      </c>
      <c r="E86" s="83" t="s">
        <v>1</v>
      </c>
      <c r="F86" s="202">
        <f>VLOOKUP(C86,C193:G215,4,FALSE)</f>
        <v>25</v>
      </c>
      <c r="G86" s="237">
        <f>F86/D86</f>
        <v>0.9259259259259259</v>
      </c>
      <c r="H86" s="68"/>
      <c r="I86" s="68"/>
      <c r="J86" s="68"/>
      <c r="K86" s="68"/>
      <c r="L86" s="68"/>
      <c r="M86" s="68"/>
      <c r="N86" s="68"/>
      <c r="O86" s="69"/>
    </row>
    <row r="87" spans="2:15" ht="12.75">
      <c r="B87" s="65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</row>
    <row r="88" spans="2:15" ht="12.75">
      <c r="B88" s="71" t="s">
        <v>6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</row>
    <row r="89" spans="2:15" ht="12.75">
      <c r="B89" s="65"/>
      <c r="C89" s="68"/>
      <c r="D89" s="229">
        <v>7</v>
      </c>
      <c r="E89" s="229" t="s">
        <v>1</v>
      </c>
      <c r="F89" s="229">
        <v>31</v>
      </c>
      <c r="G89" s="230">
        <f>F89/D89</f>
        <v>4.428571428571429</v>
      </c>
      <c r="H89" s="68"/>
      <c r="I89" s="68"/>
      <c r="J89" s="68"/>
      <c r="K89" s="68"/>
      <c r="L89" s="76"/>
      <c r="M89" s="68"/>
      <c r="N89" s="68"/>
      <c r="O89" s="69"/>
    </row>
    <row r="90" spans="2:15" ht="12.75">
      <c r="B90" s="71" t="s">
        <v>7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</row>
    <row r="91" spans="2:15" ht="12.75">
      <c r="B91" s="65"/>
      <c r="C91" s="231">
        <f>C20</f>
        <v>23.4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</row>
    <row r="92" spans="2:15" ht="12.75" hidden="1">
      <c r="B92" s="65"/>
      <c r="C92" s="83"/>
      <c r="D92" s="68"/>
      <c r="E92" s="68"/>
      <c r="F92" s="68"/>
      <c r="G92" s="68">
        <f>C91*3.14</f>
        <v>73.476</v>
      </c>
      <c r="H92" s="68" t="s">
        <v>87</v>
      </c>
      <c r="I92" s="68"/>
      <c r="J92" s="68">
        <f>5280*12</f>
        <v>63360</v>
      </c>
      <c r="K92" s="68" t="s">
        <v>8</v>
      </c>
      <c r="L92" s="68"/>
      <c r="M92" s="68"/>
      <c r="N92" s="68"/>
      <c r="O92" s="69"/>
    </row>
    <row r="93" spans="2:15" ht="12.75">
      <c r="B93" s="71" t="s">
        <v>89</v>
      </c>
      <c r="C93" s="83"/>
      <c r="D93" s="68"/>
      <c r="E93" s="68"/>
      <c r="F93" s="68"/>
      <c r="G93" s="70" t="s">
        <v>84</v>
      </c>
      <c r="H93" s="233">
        <f>H23</f>
        <v>0.8</v>
      </c>
      <c r="I93" s="202" t="s">
        <v>86</v>
      </c>
      <c r="J93" s="202">
        <f>J23</f>
        <v>5200</v>
      </c>
      <c r="K93" s="68"/>
      <c r="L93" s="68"/>
      <c r="M93" s="68"/>
      <c r="N93" s="68"/>
      <c r="O93" s="69"/>
    </row>
    <row r="94" spans="2:15" ht="13.5" thickBot="1">
      <c r="B94" s="228" t="s">
        <v>14</v>
      </c>
      <c r="C94" s="232">
        <f>C23</f>
        <v>6500</v>
      </c>
      <c r="D94" s="78"/>
      <c r="E94" s="78"/>
      <c r="F94" s="78"/>
      <c r="G94" s="200" t="s">
        <v>85</v>
      </c>
      <c r="H94" s="233">
        <f>H24</f>
        <v>0.9</v>
      </c>
      <c r="I94" s="201" t="s">
        <v>86</v>
      </c>
      <c r="J94" s="201">
        <f>J24</f>
        <v>5850</v>
      </c>
      <c r="K94" s="78"/>
      <c r="L94" s="78"/>
      <c r="M94" s="78"/>
      <c r="N94" s="78"/>
      <c r="O94" s="79"/>
    </row>
    <row r="95" spans="2:15" ht="12.75">
      <c r="B95" s="70"/>
      <c r="C95" s="83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ht="12.75">
      <c r="C96" s="60"/>
    </row>
    <row r="97" spans="6:14" ht="12.75">
      <c r="F97" s="64" t="str">
        <f>R111</f>
        <v>Example Road Course Setup -- 23.4 '' Tire Diameter -- 6500 Redline   (A - GA - KA - Q - V)</v>
      </c>
      <c r="G97" s="62"/>
      <c r="H97" s="62"/>
      <c r="I97" s="62"/>
      <c r="J97" s="62"/>
      <c r="K97" s="62"/>
      <c r="L97" s="62"/>
      <c r="M97" s="62"/>
      <c r="N97" s="63"/>
    </row>
    <row r="98" spans="6:14" ht="12.75">
      <c r="F98" s="5" t="s">
        <v>9</v>
      </c>
      <c r="G98" s="103" t="s">
        <v>10</v>
      </c>
      <c r="H98" s="104"/>
      <c r="I98" s="11" t="s">
        <v>11</v>
      </c>
      <c r="J98" s="12"/>
      <c r="K98" s="25" t="s">
        <v>12</v>
      </c>
      <c r="L98" s="26"/>
      <c r="M98" s="40" t="s">
        <v>13</v>
      </c>
      <c r="N98" s="41"/>
    </row>
    <row r="99" spans="6:14" ht="12.75">
      <c r="F99" s="6" t="s">
        <v>14</v>
      </c>
      <c r="G99" s="105" t="s">
        <v>15</v>
      </c>
      <c r="H99" s="106" t="s">
        <v>14</v>
      </c>
      <c r="I99" s="13" t="s">
        <v>15</v>
      </c>
      <c r="J99" s="14" t="s">
        <v>14</v>
      </c>
      <c r="K99" s="27" t="s">
        <v>15</v>
      </c>
      <c r="L99" s="28" t="s">
        <v>14</v>
      </c>
      <c r="M99" s="42" t="s">
        <v>15</v>
      </c>
      <c r="N99" s="43" t="s">
        <v>14</v>
      </c>
    </row>
    <row r="100" spans="2:14" ht="12.75">
      <c r="B100" s="4" t="s">
        <v>16</v>
      </c>
      <c r="F100" s="7">
        <f>J23</f>
        <v>5200</v>
      </c>
      <c r="G100" s="92">
        <f>G102*G103*G104</f>
        <v>2990.8496732026147</v>
      </c>
      <c r="H100" s="93">
        <f>J24</f>
        <v>5850</v>
      </c>
      <c r="I100" s="15">
        <f>I102*I103*I104</f>
        <v>4636.789772727273</v>
      </c>
      <c r="J100" s="16">
        <f>C94</f>
        <v>6500</v>
      </c>
      <c r="K100" s="29">
        <f>K102*K103*K104</f>
        <v>5189.5161290322585</v>
      </c>
      <c r="L100" s="30">
        <f>C94</f>
        <v>6500</v>
      </c>
      <c r="M100" s="44">
        <f>M102*M103*M104</f>
        <v>5349.794238683127</v>
      </c>
      <c r="N100" s="45">
        <f>C94</f>
        <v>6500</v>
      </c>
    </row>
    <row r="101" spans="2:14" ht="12.75">
      <c r="B101" s="4" t="s">
        <v>17</v>
      </c>
      <c r="F101" s="8" t="str">
        <f>C82</f>
        <v>A</v>
      </c>
      <c r="G101" s="94" t="str">
        <f>C83</f>
        <v>GA</v>
      </c>
      <c r="H101" s="95" t="str">
        <f>C83</f>
        <v>GA</v>
      </c>
      <c r="I101" s="17" t="str">
        <f>C84</f>
        <v>KA</v>
      </c>
      <c r="J101" s="18" t="str">
        <f>C84</f>
        <v>KA</v>
      </c>
      <c r="K101" s="31" t="str">
        <f>C85</f>
        <v>Q</v>
      </c>
      <c r="L101" s="32" t="str">
        <f>C85</f>
        <v>Q</v>
      </c>
      <c r="M101" s="46" t="str">
        <f>C86</f>
        <v>V</v>
      </c>
      <c r="N101" s="47" t="str">
        <f>C86</f>
        <v>V</v>
      </c>
    </row>
    <row r="102" spans="6:14" ht="12.75">
      <c r="F102" s="9">
        <f>G82</f>
        <v>3.090909090909091</v>
      </c>
      <c r="G102" s="96">
        <f>G83</f>
        <v>1.7777777777777777</v>
      </c>
      <c r="H102" s="97">
        <f>G83</f>
        <v>1.7777777777777777</v>
      </c>
      <c r="I102" s="19">
        <f>G84</f>
        <v>1.4090909090909092</v>
      </c>
      <c r="J102" s="20">
        <f>G84</f>
        <v>1.4090909090909092</v>
      </c>
      <c r="K102" s="33">
        <f>G85</f>
        <v>1.125</v>
      </c>
      <c r="L102" s="34">
        <f>G85</f>
        <v>1.125</v>
      </c>
      <c r="M102" s="48">
        <f>G86</f>
        <v>0.9259259259259259</v>
      </c>
      <c r="N102" s="49">
        <f>G86</f>
        <v>0.9259259259259259</v>
      </c>
    </row>
    <row r="103" spans="2:14" ht="12.75" hidden="1">
      <c r="B103" s="4" t="s">
        <v>18</v>
      </c>
      <c r="F103" s="10">
        <f>G89</f>
        <v>4.428571428571429</v>
      </c>
      <c r="G103" s="98">
        <f>G89</f>
        <v>4.428571428571429</v>
      </c>
      <c r="H103" s="99">
        <f>G89</f>
        <v>4.428571428571429</v>
      </c>
      <c r="I103" s="21">
        <f>G89</f>
        <v>4.428571428571429</v>
      </c>
      <c r="J103" s="22">
        <f>G89</f>
        <v>4.428571428571429</v>
      </c>
      <c r="K103" s="35">
        <f>G89</f>
        <v>4.428571428571429</v>
      </c>
      <c r="L103" s="36">
        <f>G89</f>
        <v>4.428571428571429</v>
      </c>
      <c r="M103" s="50">
        <f>G89</f>
        <v>4.428571428571429</v>
      </c>
      <c r="N103" s="51">
        <f>G89</f>
        <v>4.428571428571429</v>
      </c>
    </row>
    <row r="104" spans="2:23" ht="12.75" hidden="1">
      <c r="B104" s="4" t="s">
        <v>19</v>
      </c>
      <c r="F104" s="8">
        <f>F100/F102/F103</f>
        <v>379.8861480075901</v>
      </c>
      <c r="G104" s="94">
        <f>F104</f>
        <v>379.8861480075901</v>
      </c>
      <c r="H104" s="95">
        <f>H100/H102/H103</f>
        <v>743.0443548387096</v>
      </c>
      <c r="I104" s="17">
        <f>H104</f>
        <v>743.0443548387096</v>
      </c>
      <c r="J104" s="18">
        <f>J100/J102/J103</f>
        <v>1041.6233090530698</v>
      </c>
      <c r="K104" s="31">
        <f>J104</f>
        <v>1041.6233090530698</v>
      </c>
      <c r="L104" s="32">
        <f>L100/L102/L103</f>
        <v>1304.6594982078852</v>
      </c>
      <c r="M104" s="46">
        <f>L104</f>
        <v>1304.6594982078852</v>
      </c>
      <c r="N104" s="47">
        <f>N100/N102/N103</f>
        <v>1585.1612903225805</v>
      </c>
      <c r="W104" s="61"/>
    </row>
    <row r="105" spans="2:14" ht="12.75" hidden="1">
      <c r="B105" s="4" t="s">
        <v>20</v>
      </c>
      <c r="F105" s="8">
        <f>F104*60</f>
        <v>22793.168880455407</v>
      </c>
      <c r="G105" s="94">
        <f>F105</f>
        <v>22793.168880455407</v>
      </c>
      <c r="H105" s="95">
        <f>H104*60</f>
        <v>44582.661290322576</v>
      </c>
      <c r="I105" s="17">
        <f>H105</f>
        <v>44582.661290322576</v>
      </c>
      <c r="J105" s="18">
        <f>J104*60</f>
        <v>62497.39854318419</v>
      </c>
      <c r="K105" s="31">
        <f>J105</f>
        <v>62497.39854318419</v>
      </c>
      <c r="L105" s="32">
        <f>L104*60</f>
        <v>78279.56989247311</v>
      </c>
      <c r="M105" s="46">
        <f>L105</f>
        <v>78279.56989247311</v>
      </c>
      <c r="N105" s="47">
        <f>N104*60</f>
        <v>95109.67741935483</v>
      </c>
    </row>
    <row r="106" spans="2:14" ht="12.75" hidden="1">
      <c r="B106" s="4" t="s">
        <v>73</v>
      </c>
      <c r="F106" s="10">
        <f>G92</f>
        <v>73.476</v>
      </c>
      <c r="G106" s="98">
        <f>G92</f>
        <v>73.476</v>
      </c>
      <c r="H106" s="99">
        <f>G92</f>
        <v>73.476</v>
      </c>
      <c r="I106" s="21">
        <f>G92</f>
        <v>73.476</v>
      </c>
      <c r="J106" s="22">
        <f>G92</f>
        <v>73.476</v>
      </c>
      <c r="K106" s="35">
        <f>G92</f>
        <v>73.476</v>
      </c>
      <c r="L106" s="36">
        <f>G92</f>
        <v>73.476</v>
      </c>
      <c r="M106" s="50">
        <f>G92</f>
        <v>73.476</v>
      </c>
      <c r="N106" s="51">
        <f>G92</f>
        <v>73.476</v>
      </c>
    </row>
    <row r="107" spans="2:14" ht="12.75" hidden="1">
      <c r="B107" s="4" t="s">
        <v>74</v>
      </c>
      <c r="F107" s="8">
        <f>F105*F106</f>
        <v>1674750.8766603414</v>
      </c>
      <c r="G107" s="94">
        <f>F107</f>
        <v>1674750.8766603414</v>
      </c>
      <c r="H107" s="95">
        <f>H105*H106</f>
        <v>3275755.6209677416</v>
      </c>
      <c r="I107" s="17">
        <f>H107</f>
        <v>3275755.6209677416</v>
      </c>
      <c r="J107" s="18">
        <f>J105*J106</f>
        <v>4592058.855359001</v>
      </c>
      <c r="K107" s="31">
        <f>J107</f>
        <v>4592058.855359001</v>
      </c>
      <c r="L107" s="32">
        <f>L105*L106</f>
        <v>5751669.677419354</v>
      </c>
      <c r="M107" s="46">
        <f>L107</f>
        <v>5751669.677419354</v>
      </c>
      <c r="N107" s="47">
        <f>N105*N106</f>
        <v>6988278.658064515</v>
      </c>
    </row>
    <row r="108" spans="2:14" ht="12.75" hidden="1">
      <c r="B108" s="4" t="s">
        <v>8</v>
      </c>
      <c r="F108" s="8">
        <f>J92</f>
        <v>63360</v>
      </c>
      <c r="G108" s="94">
        <f>J92</f>
        <v>63360</v>
      </c>
      <c r="H108" s="100">
        <f>J92</f>
        <v>63360</v>
      </c>
      <c r="I108" s="55">
        <f>J92</f>
        <v>63360</v>
      </c>
      <c r="J108" s="23">
        <f>J92</f>
        <v>63360</v>
      </c>
      <c r="K108" s="37">
        <f>J92</f>
        <v>63360</v>
      </c>
      <c r="L108" s="38">
        <f>J92</f>
        <v>63360</v>
      </c>
      <c r="M108" s="52">
        <f>J92</f>
        <v>63360</v>
      </c>
      <c r="N108" s="53">
        <f>J92</f>
        <v>63360</v>
      </c>
    </row>
    <row r="109" spans="2:14" ht="14.25">
      <c r="B109" s="4" t="s">
        <v>21</v>
      </c>
      <c r="F109" s="56">
        <f>F107/F108</f>
        <v>26.432305502846297</v>
      </c>
      <c r="G109" s="101">
        <f>F109</f>
        <v>26.432305502846297</v>
      </c>
      <c r="H109" s="107">
        <f>H107/H108</f>
        <v>51.7006884622434</v>
      </c>
      <c r="I109" s="24">
        <f>H109</f>
        <v>51.7006884622434</v>
      </c>
      <c r="J109" s="57">
        <f>J107/J108</f>
        <v>72.4756763787721</v>
      </c>
      <c r="K109" s="39">
        <f>J109</f>
        <v>72.4756763787721</v>
      </c>
      <c r="L109" s="58">
        <f>L107/L108</f>
        <v>90.77761485826001</v>
      </c>
      <c r="M109" s="54">
        <f>L109</f>
        <v>90.77761485826001</v>
      </c>
      <c r="N109" s="59">
        <f>N107/N108</f>
        <v>110.29480205278591</v>
      </c>
    </row>
    <row r="110" spans="2:14" ht="14.25">
      <c r="B110" s="4"/>
      <c r="F110" s="85"/>
      <c r="G110" s="86"/>
      <c r="H110" s="85"/>
      <c r="I110" s="86"/>
      <c r="J110" s="85"/>
      <c r="K110" s="86"/>
      <c r="L110" s="85"/>
      <c r="M110" s="86"/>
      <c r="N110" s="85"/>
    </row>
    <row r="111" ht="12.75">
      <c r="R111" t="str">
        <f>CONCATENATE(C80," -- ",C91," '' Tire Diameter -- ",C94," Redline  "," (",C82," - ",C83," - ",C84," - ",C85," - ",C86,")")</f>
        <v>Example Road Course Setup -- 23.4 '' Tire Diameter -- 6500 Redline   (A - GA - KA - Q - V)</v>
      </c>
    </row>
    <row r="114" spans="18:23" ht="12.75">
      <c r="R114" t="str">
        <f>CONCATENATE("1st - ",C82)</f>
        <v>1st - A</v>
      </c>
      <c r="S114" t="str">
        <f>CONCATENATE("2nd - ",C83)</f>
        <v>2nd - GA</v>
      </c>
      <c r="T114" t="str">
        <f>CONCATENATE("3rd - ",C84)</f>
        <v>3rd - KA</v>
      </c>
      <c r="U114" t="str">
        <f>CONCATENATE("4th - ",C85)</f>
        <v>4th - Q</v>
      </c>
      <c r="V114" t="str">
        <f>CONCATENATE("5th - ",C86)</f>
        <v>5th - V</v>
      </c>
      <c r="W114" t="s">
        <v>90</v>
      </c>
    </row>
    <row r="115" spans="17:23" ht="12.75">
      <c r="Q115">
        <v>0</v>
      </c>
      <c r="R115" s="2">
        <f>IF(((((Q115*$J$92)/$G$92/60)*$G$89*$G$82)&gt;$J$23+150),NA(),(((Q115*$J$92)/$G$92/60)*$G$89*$F$102))</f>
        <v>0</v>
      </c>
      <c r="S115" s="2" t="e">
        <f aca="true" t="shared" si="6" ref="S115:S145">IF(((((Q115*$J$92)/$G$92/60)*$G$89*$G$83)&lt;$J$24+150)*AND(ISNA(R116)),(((Q115*$J$92)/$G$92/60)*$G$89*$G$102),NA())</f>
        <v>#N/A</v>
      </c>
      <c r="T115" s="2" t="e">
        <f aca="true" t="shared" si="7" ref="T115:T145">IF(((((Q115*$J$92)/$G$92/60)*$G$89*$G$84)&lt;$C$23+100)*AND(ISNA(R116))*AND(ISNA(S116)),(((Q115*$J$92)/$G$92/60)*$G$89*$I$102),NA())</f>
        <v>#N/A</v>
      </c>
      <c r="U115" s="2" t="e">
        <f aca="true" t="shared" si="8" ref="U115:U145">IF(((((Q115*$J$92)/$G$92/60)*$G$89*$G$85)&lt;$C$23+100)*AND(ISNA(R116))*AND(ISNA(S116))*AND(ISNA(T116)),(((Q115*$J$92)/$G$92/60)*$G$89*$K$102),NA())</f>
        <v>#N/A</v>
      </c>
      <c r="V115" s="2" t="e">
        <f aca="true" t="shared" si="9" ref="V115:V145">IF(((((Q115*$J$92)/$G$92/60)*$G$89*$G$86)&lt;$C$23+100)*AND(ISNA(R116))*AND(ISNA(S116))*AND(ISNA(T116))*AND(ISNA(U116)),(((Q115*$J$92)/$G$92/60)*$G$89*$M$102),NA())</f>
        <v>#N/A</v>
      </c>
      <c r="W115">
        <f>IF(ISNA(R115),(IF((ISNA(S115)),$C$23,$J$24)),$J$23)</f>
        <v>5200</v>
      </c>
    </row>
    <row r="116" spans="17:23" ht="12.75">
      <c r="Q116">
        <v>5</v>
      </c>
      <c r="R116" s="2">
        <f aca="true" t="shared" si="10" ref="R116:R145">IF(((((Q116*$J$92)/$G$92/60)*$G$89*$G$82)&gt;$J$23+150),NA(),(((Q116*$J$92)/$G$92/60)*$G$89*$F$102))</f>
        <v>983.6448053008563</v>
      </c>
      <c r="S116" s="2" t="e">
        <f t="shared" si="6"/>
        <v>#N/A</v>
      </c>
      <c r="T116" s="2" t="e">
        <f t="shared" si="7"/>
        <v>#N/A</v>
      </c>
      <c r="U116" s="2" t="e">
        <f t="shared" si="8"/>
        <v>#N/A</v>
      </c>
      <c r="V116" s="2" t="e">
        <f t="shared" si="9"/>
        <v>#N/A</v>
      </c>
      <c r="W116">
        <f aca="true" t="shared" si="11" ref="W116:W145">IF(ISNA(R116),(IF((ISNA(S116)),$C$23,$J$24)),$J$23)</f>
        <v>5200</v>
      </c>
    </row>
    <row r="117" spans="17:23" ht="12.75">
      <c r="Q117">
        <v>10</v>
      </c>
      <c r="R117" s="2">
        <f t="shared" si="10"/>
        <v>1967.2896106017126</v>
      </c>
      <c r="S117" s="2" t="e">
        <f t="shared" si="6"/>
        <v>#N/A</v>
      </c>
      <c r="T117" s="2" t="e">
        <f t="shared" si="7"/>
        <v>#N/A</v>
      </c>
      <c r="U117" s="2" t="e">
        <f t="shared" si="8"/>
        <v>#N/A</v>
      </c>
      <c r="V117" s="2" t="e">
        <f t="shared" si="9"/>
        <v>#N/A</v>
      </c>
      <c r="W117">
        <f t="shared" si="11"/>
        <v>5200</v>
      </c>
    </row>
    <row r="118" spans="17:23" ht="12.75">
      <c r="Q118">
        <v>15</v>
      </c>
      <c r="R118" s="2">
        <f t="shared" si="10"/>
        <v>2950.9344159025686</v>
      </c>
      <c r="S118" s="2" t="e">
        <f t="shared" si="6"/>
        <v>#N/A</v>
      </c>
      <c r="T118" s="2" t="e">
        <f t="shared" si="7"/>
        <v>#N/A</v>
      </c>
      <c r="U118" s="2" t="e">
        <f t="shared" si="8"/>
        <v>#N/A</v>
      </c>
      <c r="V118" s="2" t="e">
        <f t="shared" si="9"/>
        <v>#N/A</v>
      </c>
      <c r="W118">
        <f t="shared" si="11"/>
        <v>5200</v>
      </c>
    </row>
    <row r="119" spans="17:23" ht="12.75">
      <c r="Q119">
        <v>20</v>
      </c>
      <c r="R119" s="2">
        <f t="shared" si="10"/>
        <v>3934.5792212034253</v>
      </c>
      <c r="S119" s="2" t="e">
        <f t="shared" si="6"/>
        <v>#N/A</v>
      </c>
      <c r="T119" s="2" t="e">
        <f t="shared" si="7"/>
        <v>#N/A</v>
      </c>
      <c r="U119" s="2" t="e">
        <f t="shared" si="8"/>
        <v>#N/A</v>
      </c>
      <c r="V119" s="2" t="e">
        <f t="shared" si="9"/>
        <v>#N/A</v>
      </c>
      <c r="W119">
        <f t="shared" si="11"/>
        <v>5200</v>
      </c>
    </row>
    <row r="120" spans="17:23" ht="12.75">
      <c r="Q120">
        <v>25</v>
      </c>
      <c r="R120" s="2">
        <f t="shared" si="10"/>
        <v>4918.224026504282</v>
      </c>
      <c r="S120" s="2">
        <f t="shared" si="6"/>
        <v>2828.7824466168418</v>
      </c>
      <c r="T120" s="2" t="e">
        <f t="shared" si="7"/>
        <v>#N/A</v>
      </c>
      <c r="U120" s="2" t="e">
        <f t="shared" si="8"/>
        <v>#N/A</v>
      </c>
      <c r="V120" s="2" t="e">
        <f t="shared" si="9"/>
        <v>#N/A</v>
      </c>
      <c r="W120">
        <f t="shared" si="11"/>
        <v>5200</v>
      </c>
    </row>
    <row r="121" spans="17:23" ht="12.75">
      <c r="Q121">
        <v>30</v>
      </c>
      <c r="R121" s="2" t="e">
        <f t="shared" si="10"/>
        <v>#N/A</v>
      </c>
      <c r="S121" s="2">
        <f t="shared" si="6"/>
        <v>3394.5389359402097</v>
      </c>
      <c r="T121" s="2" t="e">
        <f t="shared" si="7"/>
        <v>#N/A</v>
      </c>
      <c r="U121" s="2" t="e">
        <f t="shared" si="8"/>
        <v>#N/A</v>
      </c>
      <c r="V121" s="2" t="e">
        <f t="shared" si="9"/>
        <v>#N/A</v>
      </c>
      <c r="W121">
        <f t="shared" si="11"/>
        <v>5850</v>
      </c>
    </row>
    <row r="122" spans="17:23" ht="12.75">
      <c r="Q122">
        <v>35</v>
      </c>
      <c r="R122" s="2" t="e">
        <f t="shared" si="10"/>
        <v>#N/A</v>
      </c>
      <c r="S122" s="2">
        <f t="shared" si="6"/>
        <v>3960.2954252635786</v>
      </c>
      <c r="T122" s="2" t="e">
        <f t="shared" si="7"/>
        <v>#N/A</v>
      </c>
      <c r="U122" s="2" t="e">
        <f t="shared" si="8"/>
        <v>#N/A</v>
      </c>
      <c r="V122" s="2" t="e">
        <f t="shared" si="9"/>
        <v>#N/A</v>
      </c>
      <c r="W122">
        <f t="shared" si="11"/>
        <v>5850</v>
      </c>
    </row>
    <row r="123" spans="17:23" ht="12.75">
      <c r="Q123">
        <v>40</v>
      </c>
      <c r="R123" s="2" t="e">
        <f t="shared" si="10"/>
        <v>#N/A</v>
      </c>
      <c r="S123" s="2">
        <f t="shared" si="6"/>
        <v>4526.051914586947</v>
      </c>
      <c r="T123" s="2" t="e">
        <f t="shared" si="7"/>
        <v>#N/A</v>
      </c>
      <c r="U123" s="2" t="e">
        <f t="shared" si="8"/>
        <v>#N/A</v>
      </c>
      <c r="V123" s="2" t="e">
        <f t="shared" si="9"/>
        <v>#N/A</v>
      </c>
      <c r="W123">
        <f t="shared" si="11"/>
        <v>5850</v>
      </c>
    </row>
    <row r="124" spans="17:23" ht="12.75">
      <c r="Q124">
        <v>45</v>
      </c>
      <c r="R124" s="2" t="e">
        <f t="shared" si="10"/>
        <v>#N/A</v>
      </c>
      <c r="S124" s="2">
        <f t="shared" si="6"/>
        <v>5091.808403910315</v>
      </c>
      <c r="T124" s="2" t="e">
        <f t="shared" si="7"/>
        <v>#N/A</v>
      </c>
      <c r="U124" s="2" t="e">
        <f t="shared" si="8"/>
        <v>#N/A</v>
      </c>
      <c r="V124" s="2" t="e">
        <f t="shared" si="9"/>
        <v>#N/A</v>
      </c>
      <c r="W124">
        <f t="shared" si="11"/>
        <v>5850</v>
      </c>
    </row>
    <row r="125" spans="17:23" ht="12.75">
      <c r="Q125">
        <v>50</v>
      </c>
      <c r="R125" s="2" t="e">
        <f t="shared" si="10"/>
        <v>#N/A</v>
      </c>
      <c r="S125" s="2">
        <f t="shared" si="6"/>
        <v>5657.5648932336835</v>
      </c>
      <c r="T125" s="2">
        <f t="shared" si="7"/>
        <v>4484.263082989199</v>
      </c>
      <c r="U125" s="2" t="e">
        <f t="shared" si="8"/>
        <v>#N/A</v>
      </c>
      <c r="V125" s="2" t="e">
        <f t="shared" si="9"/>
        <v>#N/A</v>
      </c>
      <c r="W125">
        <f t="shared" si="11"/>
        <v>5850</v>
      </c>
    </row>
    <row r="126" spans="17:23" ht="12.75">
      <c r="Q126">
        <v>55</v>
      </c>
      <c r="R126" s="2" t="e">
        <f t="shared" si="10"/>
        <v>#N/A</v>
      </c>
      <c r="S126" s="2" t="e">
        <f t="shared" si="6"/>
        <v>#N/A</v>
      </c>
      <c r="T126" s="2">
        <f t="shared" si="7"/>
        <v>4932.689391288118</v>
      </c>
      <c r="U126" s="2" t="e">
        <f t="shared" si="8"/>
        <v>#N/A</v>
      </c>
      <c r="V126" s="2" t="e">
        <f t="shared" si="9"/>
        <v>#N/A</v>
      </c>
      <c r="W126">
        <f t="shared" si="11"/>
        <v>6500</v>
      </c>
    </row>
    <row r="127" spans="17:23" ht="12.75">
      <c r="Q127">
        <v>60</v>
      </c>
      <c r="R127" s="2" t="e">
        <f t="shared" si="10"/>
        <v>#N/A</v>
      </c>
      <c r="S127" s="2" t="e">
        <f t="shared" si="6"/>
        <v>#N/A</v>
      </c>
      <c r="T127" s="2">
        <f t="shared" si="7"/>
        <v>5381.115699587038</v>
      </c>
      <c r="U127" s="2" t="e">
        <f t="shared" si="8"/>
        <v>#N/A</v>
      </c>
      <c r="V127" s="2" t="e">
        <f t="shared" si="9"/>
        <v>#N/A</v>
      </c>
      <c r="W127">
        <f t="shared" si="11"/>
        <v>6500</v>
      </c>
    </row>
    <row r="128" spans="17:23" ht="12.75">
      <c r="Q128">
        <v>65</v>
      </c>
      <c r="R128" s="2" t="e">
        <f t="shared" si="10"/>
        <v>#N/A</v>
      </c>
      <c r="S128" s="2" t="e">
        <f t="shared" si="6"/>
        <v>#N/A</v>
      </c>
      <c r="T128" s="2">
        <f t="shared" si="7"/>
        <v>5829.542007885957</v>
      </c>
      <c r="U128" s="2" t="e">
        <f t="shared" si="8"/>
        <v>#N/A</v>
      </c>
      <c r="V128" s="2" t="e">
        <f t="shared" si="9"/>
        <v>#N/A</v>
      </c>
      <c r="W128">
        <f t="shared" si="11"/>
        <v>6500</v>
      </c>
    </row>
    <row r="129" spans="17:23" ht="12.75">
      <c r="Q129">
        <v>70</v>
      </c>
      <c r="R129" s="2" t="e">
        <f t="shared" si="10"/>
        <v>#N/A</v>
      </c>
      <c r="S129" s="2" t="e">
        <f t="shared" si="6"/>
        <v>#N/A</v>
      </c>
      <c r="T129" s="2">
        <f t="shared" si="7"/>
        <v>6277.968316184878</v>
      </c>
      <c r="U129" s="2">
        <f t="shared" si="8"/>
        <v>5012.248897599216</v>
      </c>
      <c r="V129" s="2" t="e">
        <f t="shared" si="9"/>
        <v>#N/A</v>
      </c>
      <c r="W129">
        <f t="shared" si="11"/>
        <v>6500</v>
      </c>
    </row>
    <row r="130" spans="17:23" ht="12.75">
      <c r="Q130">
        <v>75</v>
      </c>
      <c r="R130" s="2" t="e">
        <f t="shared" si="10"/>
        <v>#N/A</v>
      </c>
      <c r="S130" s="2" t="e">
        <f t="shared" si="6"/>
        <v>#N/A</v>
      </c>
      <c r="T130" s="2" t="e">
        <f t="shared" si="7"/>
        <v>#N/A</v>
      </c>
      <c r="U130" s="2">
        <f t="shared" si="8"/>
        <v>5370.26667599916</v>
      </c>
      <c r="V130" s="2" t="e">
        <f t="shared" si="9"/>
        <v>#N/A</v>
      </c>
      <c r="W130">
        <f t="shared" si="11"/>
        <v>6500</v>
      </c>
    </row>
    <row r="131" spans="15:23" ht="12.75">
      <c r="O131" s="2"/>
      <c r="Q131">
        <v>80</v>
      </c>
      <c r="R131" s="2" t="e">
        <f t="shared" si="10"/>
        <v>#N/A</v>
      </c>
      <c r="S131" s="2" t="e">
        <f t="shared" si="6"/>
        <v>#N/A</v>
      </c>
      <c r="T131" s="2" t="e">
        <f t="shared" si="7"/>
        <v>#N/A</v>
      </c>
      <c r="U131" s="2">
        <f t="shared" si="8"/>
        <v>5728.284454399104</v>
      </c>
      <c r="V131" s="2" t="e">
        <f t="shared" si="9"/>
        <v>#N/A</v>
      </c>
      <c r="W131">
        <f t="shared" si="11"/>
        <v>6500</v>
      </c>
    </row>
    <row r="132" spans="15:23" ht="12.75">
      <c r="O132" s="2"/>
      <c r="Q132">
        <v>85</v>
      </c>
      <c r="R132" s="2" t="e">
        <f t="shared" si="10"/>
        <v>#N/A</v>
      </c>
      <c r="S132" s="2" t="e">
        <f t="shared" si="6"/>
        <v>#N/A</v>
      </c>
      <c r="T132" s="2" t="e">
        <f t="shared" si="7"/>
        <v>#N/A</v>
      </c>
      <c r="U132" s="2">
        <f t="shared" si="8"/>
        <v>6086.302232799049</v>
      </c>
      <c r="V132" s="2" t="e">
        <f t="shared" si="9"/>
        <v>#N/A</v>
      </c>
      <c r="W132">
        <f t="shared" si="11"/>
        <v>6500</v>
      </c>
    </row>
    <row r="133" spans="15:23" ht="12.75">
      <c r="O133" s="2"/>
      <c r="Q133">
        <v>90</v>
      </c>
      <c r="R133" s="2" t="e">
        <f t="shared" si="10"/>
        <v>#N/A</v>
      </c>
      <c r="S133" s="2" t="e">
        <f t="shared" si="6"/>
        <v>#N/A</v>
      </c>
      <c r="T133" s="2" t="e">
        <f t="shared" si="7"/>
        <v>#N/A</v>
      </c>
      <c r="U133" s="2">
        <f t="shared" si="8"/>
        <v>6444.320011198994</v>
      </c>
      <c r="V133" s="2">
        <f t="shared" si="9"/>
        <v>5303.967087406579</v>
      </c>
      <c r="W133">
        <f t="shared" si="11"/>
        <v>6500</v>
      </c>
    </row>
    <row r="134" spans="15:23" ht="12.75">
      <c r="O134" s="2"/>
      <c r="Q134">
        <v>95</v>
      </c>
      <c r="R134" s="2" t="e">
        <f t="shared" si="10"/>
        <v>#N/A</v>
      </c>
      <c r="S134" s="2" t="e">
        <f t="shared" si="6"/>
        <v>#N/A</v>
      </c>
      <c r="T134" s="2" t="e">
        <f t="shared" si="7"/>
        <v>#N/A</v>
      </c>
      <c r="U134" s="2" t="e">
        <f t="shared" si="8"/>
        <v>#N/A</v>
      </c>
      <c r="V134" s="2">
        <f t="shared" si="9"/>
        <v>5598.631925595833</v>
      </c>
      <c r="W134">
        <f t="shared" si="11"/>
        <v>6500</v>
      </c>
    </row>
    <row r="135" spans="15:23" ht="12.75">
      <c r="O135" s="2"/>
      <c r="Q135">
        <v>100</v>
      </c>
      <c r="R135" s="2" t="e">
        <f t="shared" si="10"/>
        <v>#N/A</v>
      </c>
      <c r="S135" s="2" t="e">
        <f t="shared" si="6"/>
        <v>#N/A</v>
      </c>
      <c r="T135" s="2" t="e">
        <f t="shared" si="7"/>
        <v>#N/A</v>
      </c>
      <c r="U135" s="2" t="e">
        <f t="shared" si="8"/>
        <v>#N/A</v>
      </c>
      <c r="V135" s="2">
        <f t="shared" si="9"/>
        <v>5893.296763785087</v>
      </c>
      <c r="W135">
        <f t="shared" si="11"/>
        <v>6500</v>
      </c>
    </row>
    <row r="136" spans="15:23" ht="12.75">
      <c r="O136" s="2"/>
      <c r="P136" s="2"/>
      <c r="Q136">
        <v>105</v>
      </c>
      <c r="R136" s="2" t="e">
        <f t="shared" si="10"/>
        <v>#N/A</v>
      </c>
      <c r="S136" s="2" t="e">
        <f t="shared" si="6"/>
        <v>#N/A</v>
      </c>
      <c r="T136" s="2" t="e">
        <f t="shared" si="7"/>
        <v>#N/A</v>
      </c>
      <c r="U136" s="2" t="e">
        <f t="shared" si="8"/>
        <v>#N/A</v>
      </c>
      <c r="V136" s="2">
        <f t="shared" si="9"/>
        <v>6187.961601974341</v>
      </c>
      <c r="W136">
        <f t="shared" si="11"/>
        <v>6500</v>
      </c>
    </row>
    <row r="137" spans="15:23" ht="12.75">
      <c r="O137" s="2"/>
      <c r="P137" s="2"/>
      <c r="Q137">
        <v>110</v>
      </c>
      <c r="R137" s="2" t="e">
        <f t="shared" si="10"/>
        <v>#N/A</v>
      </c>
      <c r="S137" s="2" t="e">
        <f t="shared" si="6"/>
        <v>#N/A</v>
      </c>
      <c r="T137" s="2" t="e">
        <f t="shared" si="7"/>
        <v>#N/A</v>
      </c>
      <c r="U137" s="2" t="e">
        <f t="shared" si="8"/>
        <v>#N/A</v>
      </c>
      <c r="V137" s="2">
        <f t="shared" si="9"/>
        <v>6482.626440163595</v>
      </c>
      <c r="W137">
        <f t="shared" si="11"/>
        <v>6500</v>
      </c>
    </row>
    <row r="138" spans="15:23" ht="12.75">
      <c r="O138" s="2"/>
      <c r="P138" s="2"/>
      <c r="Q138">
        <v>115</v>
      </c>
      <c r="R138" s="2" t="e">
        <f t="shared" si="10"/>
        <v>#N/A</v>
      </c>
      <c r="S138" s="2" t="e">
        <f t="shared" si="6"/>
        <v>#N/A</v>
      </c>
      <c r="T138" s="2" t="e">
        <f t="shared" si="7"/>
        <v>#N/A</v>
      </c>
      <c r="U138" s="2" t="e">
        <f t="shared" si="8"/>
        <v>#N/A</v>
      </c>
      <c r="V138" s="2" t="e">
        <f t="shared" si="9"/>
        <v>#N/A</v>
      </c>
      <c r="W138">
        <f t="shared" si="11"/>
        <v>6500</v>
      </c>
    </row>
    <row r="139" spans="15:23" ht="12.75">
      <c r="O139" s="2"/>
      <c r="P139" s="2"/>
      <c r="Q139">
        <v>120</v>
      </c>
      <c r="R139" s="2" t="e">
        <f t="shared" si="10"/>
        <v>#N/A</v>
      </c>
      <c r="S139" s="2" t="e">
        <f t="shared" si="6"/>
        <v>#N/A</v>
      </c>
      <c r="T139" s="2" t="e">
        <f t="shared" si="7"/>
        <v>#N/A</v>
      </c>
      <c r="U139" s="2" t="e">
        <f t="shared" si="8"/>
        <v>#N/A</v>
      </c>
      <c r="V139" s="2" t="e">
        <f t="shared" si="9"/>
        <v>#N/A</v>
      </c>
      <c r="W139">
        <f t="shared" si="11"/>
        <v>6500</v>
      </c>
    </row>
    <row r="140" spans="15:23" ht="12.75">
      <c r="O140" s="2"/>
      <c r="P140" s="2"/>
      <c r="Q140">
        <v>125</v>
      </c>
      <c r="R140" s="2" t="e">
        <f t="shared" si="10"/>
        <v>#N/A</v>
      </c>
      <c r="S140" s="2" t="e">
        <f t="shared" si="6"/>
        <v>#N/A</v>
      </c>
      <c r="T140" s="2" t="e">
        <f t="shared" si="7"/>
        <v>#N/A</v>
      </c>
      <c r="U140" s="2" t="e">
        <f t="shared" si="8"/>
        <v>#N/A</v>
      </c>
      <c r="V140" s="2" t="e">
        <f t="shared" si="9"/>
        <v>#N/A</v>
      </c>
      <c r="W140">
        <f t="shared" si="11"/>
        <v>6500</v>
      </c>
    </row>
    <row r="141" spans="16:23" ht="12.75">
      <c r="P141" s="2"/>
      <c r="Q141">
        <v>130</v>
      </c>
      <c r="R141" s="2" t="e">
        <f t="shared" si="10"/>
        <v>#N/A</v>
      </c>
      <c r="S141" s="2" t="e">
        <f t="shared" si="6"/>
        <v>#N/A</v>
      </c>
      <c r="T141" s="2" t="e">
        <f t="shared" si="7"/>
        <v>#N/A</v>
      </c>
      <c r="U141" s="2" t="e">
        <f t="shared" si="8"/>
        <v>#N/A</v>
      </c>
      <c r="V141" s="2" t="e">
        <f t="shared" si="9"/>
        <v>#N/A</v>
      </c>
      <c r="W141">
        <f t="shared" si="11"/>
        <v>6500</v>
      </c>
    </row>
    <row r="142" spans="17:23" ht="12.75">
      <c r="Q142">
        <v>135</v>
      </c>
      <c r="R142" s="2" t="e">
        <f t="shared" si="10"/>
        <v>#N/A</v>
      </c>
      <c r="S142" s="2" t="e">
        <f t="shared" si="6"/>
        <v>#N/A</v>
      </c>
      <c r="T142" s="2" t="e">
        <f t="shared" si="7"/>
        <v>#N/A</v>
      </c>
      <c r="U142" s="2" t="e">
        <f t="shared" si="8"/>
        <v>#N/A</v>
      </c>
      <c r="V142" s="2" t="e">
        <f t="shared" si="9"/>
        <v>#N/A</v>
      </c>
      <c r="W142">
        <f t="shared" si="11"/>
        <v>6500</v>
      </c>
    </row>
    <row r="143" spans="17:23" ht="12.75">
      <c r="Q143">
        <v>140</v>
      </c>
      <c r="R143" s="2" t="e">
        <f t="shared" si="10"/>
        <v>#N/A</v>
      </c>
      <c r="S143" s="2" t="e">
        <f t="shared" si="6"/>
        <v>#N/A</v>
      </c>
      <c r="T143" s="2" t="e">
        <f t="shared" si="7"/>
        <v>#N/A</v>
      </c>
      <c r="U143" s="2" t="e">
        <f t="shared" si="8"/>
        <v>#N/A</v>
      </c>
      <c r="V143" s="2" t="e">
        <f t="shared" si="9"/>
        <v>#N/A</v>
      </c>
      <c r="W143">
        <f t="shared" si="11"/>
        <v>6500</v>
      </c>
    </row>
    <row r="144" spans="17:23" ht="14.25" customHeight="1">
      <c r="Q144">
        <v>145</v>
      </c>
      <c r="R144" s="2" t="e">
        <f t="shared" si="10"/>
        <v>#N/A</v>
      </c>
      <c r="S144" s="2" t="e">
        <f t="shared" si="6"/>
        <v>#N/A</v>
      </c>
      <c r="T144" s="2" t="e">
        <f t="shared" si="7"/>
        <v>#N/A</v>
      </c>
      <c r="U144" s="2" t="e">
        <f t="shared" si="8"/>
        <v>#N/A</v>
      </c>
      <c r="V144" s="2" t="e">
        <f t="shared" si="9"/>
        <v>#N/A</v>
      </c>
      <c r="W144">
        <f t="shared" si="11"/>
        <v>6500</v>
      </c>
    </row>
    <row r="145" spans="17:23" ht="12.75">
      <c r="Q145">
        <v>150</v>
      </c>
      <c r="R145" s="2" t="e">
        <f t="shared" si="10"/>
        <v>#N/A</v>
      </c>
      <c r="S145" s="2" t="e">
        <f t="shared" si="6"/>
        <v>#N/A</v>
      </c>
      <c r="T145" s="2" t="e">
        <f t="shared" si="7"/>
        <v>#N/A</v>
      </c>
      <c r="U145" s="2" t="e">
        <f t="shared" si="8"/>
        <v>#N/A</v>
      </c>
      <c r="V145" s="2" t="e">
        <f t="shared" si="9"/>
        <v>#N/A</v>
      </c>
      <c r="W145">
        <f t="shared" si="11"/>
        <v>6500</v>
      </c>
    </row>
    <row r="148" spans="1:24" ht="12.75" hidden="1">
      <c r="A148" s="210"/>
      <c r="B148" s="211"/>
      <c r="C148" s="211"/>
      <c r="D148" s="211"/>
      <c r="E148" s="211"/>
      <c r="F148" s="212"/>
      <c r="G148" s="212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</row>
    <row r="149" ht="12.75" hidden="1"/>
    <row r="150" ht="13.5" hidden="1" thickBot="1"/>
    <row r="151" spans="2:23" ht="15.75" hidden="1">
      <c r="B151" s="216" t="s">
        <v>24</v>
      </c>
      <c r="C151" s="214"/>
      <c r="D151" s="214"/>
      <c r="E151" s="214"/>
      <c r="F151" s="214"/>
      <c r="G151" s="214"/>
      <c r="H151" s="214"/>
      <c r="I151" s="215"/>
      <c r="J151" s="215">
        <v>2000</v>
      </c>
      <c r="K151" s="215">
        <v>2500</v>
      </c>
      <c r="L151" s="215">
        <v>3000</v>
      </c>
      <c r="M151" s="215">
        <v>3500</v>
      </c>
      <c r="N151" s="215">
        <v>4000</v>
      </c>
      <c r="O151" s="215">
        <v>4500</v>
      </c>
      <c r="P151" s="215">
        <v>5000</v>
      </c>
      <c r="Q151" s="215">
        <v>5500</v>
      </c>
      <c r="R151" s="215">
        <v>6000</v>
      </c>
      <c r="S151" s="215">
        <v>6500</v>
      </c>
      <c r="T151" s="215">
        <v>7000</v>
      </c>
      <c r="U151" s="215">
        <v>7500</v>
      </c>
      <c r="V151" s="215">
        <v>8000</v>
      </c>
      <c r="W151" s="215">
        <v>8500</v>
      </c>
    </row>
    <row r="152" spans="2:23" ht="12.75" hidden="1">
      <c r="B152" s="65"/>
      <c r="C152" s="68"/>
      <c r="D152" s="68"/>
      <c r="E152" s="68"/>
      <c r="F152" s="68"/>
      <c r="G152" s="68"/>
      <c r="H152" s="68"/>
      <c r="I152" s="69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9"/>
    </row>
    <row r="153" spans="2:23" ht="12.75" hidden="1">
      <c r="B153" s="65"/>
      <c r="C153" s="68"/>
      <c r="D153" s="68"/>
      <c r="E153" s="68"/>
      <c r="F153" s="68"/>
      <c r="G153" s="68"/>
      <c r="H153" s="68"/>
      <c r="I153" s="69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9"/>
    </row>
    <row r="154" spans="2:23" ht="12.75" hidden="1">
      <c r="B154" s="180" t="s">
        <v>25</v>
      </c>
      <c r="C154" s="160" t="s">
        <v>0</v>
      </c>
      <c r="D154" s="161">
        <v>11</v>
      </c>
      <c r="E154" s="161" t="s">
        <v>1</v>
      </c>
      <c r="F154" s="160">
        <v>34</v>
      </c>
      <c r="G154" s="259">
        <f>F154/D154</f>
        <v>3.090909090909091</v>
      </c>
      <c r="H154" s="68"/>
      <c r="I154" s="250" t="s">
        <v>109</v>
      </c>
      <c r="J154" s="244">
        <f aca="true" t="shared" si="12" ref="J154:J160">(((J$151/$G154/$G$89)*60)*$G$92)/$J$92</f>
        <v>10.166271347248577</v>
      </c>
      <c r="K154" s="244">
        <f aca="true" t="shared" si="13" ref="K154:W154">(((K$151/$G$154/$G$89)*60)*$G$92)/$J$92</f>
        <v>12.70783918406072</v>
      </c>
      <c r="L154" s="244">
        <f t="shared" si="13"/>
        <v>15.249407020872866</v>
      </c>
      <c r="M154" s="244">
        <f t="shared" si="13"/>
        <v>17.79097485768501</v>
      </c>
      <c r="N154" s="244">
        <f t="shared" si="13"/>
        <v>20.332542694497153</v>
      </c>
      <c r="O154" s="244">
        <f t="shared" si="13"/>
        <v>22.874110531309295</v>
      </c>
      <c r="P154" s="244">
        <f t="shared" si="13"/>
        <v>25.41567836812144</v>
      </c>
      <c r="Q154" s="244">
        <f t="shared" si="13"/>
        <v>27.957246204933586</v>
      </c>
      <c r="R154" s="244">
        <f t="shared" si="13"/>
        <v>30.49881404174573</v>
      </c>
      <c r="S154" s="244">
        <f t="shared" si="13"/>
        <v>33.040381878557874</v>
      </c>
      <c r="T154" s="244">
        <f t="shared" si="13"/>
        <v>35.58194971537002</v>
      </c>
      <c r="U154" s="244">
        <f t="shared" si="13"/>
        <v>38.123517552182165</v>
      </c>
      <c r="V154" s="244">
        <f t="shared" si="13"/>
        <v>40.66508538899431</v>
      </c>
      <c r="W154" s="245">
        <f t="shared" si="13"/>
        <v>43.20665322580645</v>
      </c>
    </row>
    <row r="155" spans="2:23" ht="12.75" hidden="1">
      <c r="B155" s="65"/>
      <c r="C155" s="162" t="s">
        <v>26</v>
      </c>
      <c r="D155" s="163">
        <v>12</v>
      </c>
      <c r="E155" s="163" t="s">
        <v>1</v>
      </c>
      <c r="F155" s="162">
        <v>34</v>
      </c>
      <c r="G155" s="260">
        <f aca="true" t="shared" si="14" ref="G155:G173">F155/D155</f>
        <v>2.8333333333333335</v>
      </c>
      <c r="H155" s="68"/>
      <c r="I155" s="69"/>
      <c r="J155" s="240">
        <f t="shared" si="12"/>
        <v>11.090477833362081</v>
      </c>
      <c r="K155" s="240">
        <f aca="true" t="shared" si="15" ref="K155:W155">(((K$151/$G$155/$G$89)*60)*$G$92)/$J$92</f>
        <v>13.863097291702605</v>
      </c>
      <c r="L155" s="240">
        <f t="shared" si="15"/>
        <v>16.635716750043123</v>
      </c>
      <c r="M155" s="240">
        <f t="shared" si="15"/>
        <v>19.408336208383645</v>
      </c>
      <c r="N155" s="240">
        <f t="shared" si="15"/>
        <v>22.180955666724163</v>
      </c>
      <c r="O155" s="240">
        <f t="shared" si="15"/>
        <v>24.953575125064688</v>
      </c>
      <c r="P155" s="240">
        <f t="shared" si="15"/>
        <v>27.72619458340521</v>
      </c>
      <c r="Q155" s="240">
        <f t="shared" si="15"/>
        <v>30.498814041745728</v>
      </c>
      <c r="R155" s="240">
        <f t="shared" si="15"/>
        <v>33.271433500086246</v>
      </c>
      <c r="S155" s="240">
        <f t="shared" si="15"/>
        <v>36.044052958426775</v>
      </c>
      <c r="T155" s="240">
        <f t="shared" si="15"/>
        <v>38.81667241676729</v>
      </c>
      <c r="U155" s="240">
        <f t="shared" si="15"/>
        <v>41.58929187510781</v>
      </c>
      <c r="V155" s="240">
        <f t="shared" si="15"/>
        <v>44.361911333448326</v>
      </c>
      <c r="W155" s="241">
        <f t="shared" si="15"/>
        <v>47.13453079178885</v>
      </c>
    </row>
    <row r="156" spans="2:23" ht="12.75" hidden="1">
      <c r="B156" s="65"/>
      <c r="C156" s="162" t="s">
        <v>27</v>
      </c>
      <c r="D156" s="163">
        <v>14</v>
      </c>
      <c r="E156" s="163" t="s">
        <v>1</v>
      </c>
      <c r="F156" s="162">
        <v>37</v>
      </c>
      <c r="G156" s="260">
        <f t="shared" si="14"/>
        <v>2.642857142857143</v>
      </c>
      <c r="H156" s="68"/>
      <c r="I156" s="69"/>
      <c r="J156" s="240">
        <f t="shared" si="12"/>
        <v>11.889791551081872</v>
      </c>
      <c r="K156" s="240">
        <f aca="true" t="shared" si="16" ref="K156:W160">(((K$151/$G156/$G$89)*60)*$G$92)/$J$92</f>
        <v>14.86223943885234</v>
      </c>
      <c r="L156" s="240">
        <f t="shared" si="16"/>
        <v>17.83468732662281</v>
      </c>
      <c r="M156" s="240">
        <f t="shared" si="16"/>
        <v>20.807135214393284</v>
      </c>
      <c r="N156" s="240">
        <f t="shared" si="16"/>
        <v>23.779583102163745</v>
      </c>
      <c r="O156" s="240">
        <f t="shared" si="16"/>
        <v>26.752030989934216</v>
      </c>
      <c r="P156" s="240">
        <f t="shared" si="16"/>
        <v>29.72447887770468</v>
      </c>
      <c r="Q156" s="240">
        <f t="shared" si="16"/>
        <v>32.696926765475155</v>
      </c>
      <c r="R156" s="240">
        <f t="shared" si="16"/>
        <v>35.66937465324562</v>
      </c>
      <c r="S156" s="240">
        <f t="shared" si="16"/>
        <v>38.6418225410161</v>
      </c>
      <c r="T156" s="240">
        <f t="shared" si="16"/>
        <v>41.61427042878657</v>
      </c>
      <c r="U156" s="240">
        <f t="shared" si="16"/>
        <v>44.586718316557025</v>
      </c>
      <c r="V156" s="240">
        <f t="shared" si="16"/>
        <v>47.55916620432749</v>
      </c>
      <c r="W156" s="241">
        <f t="shared" si="16"/>
        <v>50.53161409209796</v>
      </c>
    </row>
    <row r="157" spans="2:23" ht="12.75" hidden="1">
      <c r="B157" s="65"/>
      <c r="C157" s="162" t="s">
        <v>80</v>
      </c>
      <c r="D157" s="163">
        <v>12</v>
      </c>
      <c r="E157" s="163"/>
      <c r="F157" s="162">
        <v>29</v>
      </c>
      <c r="G157" s="260">
        <f t="shared" si="14"/>
        <v>2.4166666666666665</v>
      </c>
      <c r="H157" s="68"/>
      <c r="I157" s="69"/>
      <c r="J157" s="240">
        <f t="shared" si="12"/>
        <v>13.002629183941755</v>
      </c>
      <c r="K157" s="240">
        <f t="shared" si="16"/>
        <v>16.25328647992719</v>
      </c>
      <c r="L157" s="240">
        <f t="shared" si="16"/>
        <v>19.50394377591263</v>
      </c>
      <c r="M157" s="240">
        <f t="shared" si="16"/>
        <v>22.754601071898065</v>
      </c>
      <c r="N157" s="240">
        <f t="shared" si="16"/>
        <v>26.00525836788351</v>
      </c>
      <c r="O157" s="240">
        <f t="shared" si="16"/>
        <v>29.25591566386894</v>
      </c>
      <c r="P157" s="240">
        <f t="shared" si="16"/>
        <v>32.50657295985438</v>
      </c>
      <c r="Q157" s="240">
        <f t="shared" si="16"/>
        <v>35.75723025583982</v>
      </c>
      <c r="R157" s="240">
        <f t="shared" si="16"/>
        <v>39.00788755182526</v>
      </c>
      <c r="S157" s="240">
        <f t="shared" si="16"/>
        <v>42.2585448478107</v>
      </c>
      <c r="T157" s="240">
        <f t="shared" si="16"/>
        <v>45.50920214379613</v>
      </c>
      <c r="U157" s="240">
        <f t="shared" si="16"/>
        <v>48.75985943978158</v>
      </c>
      <c r="V157" s="240">
        <f t="shared" si="16"/>
        <v>52.01051673576702</v>
      </c>
      <c r="W157" s="241">
        <f t="shared" si="16"/>
        <v>55.26117403175245</v>
      </c>
    </row>
    <row r="158" spans="2:23" ht="12.75" hidden="1">
      <c r="B158" s="65"/>
      <c r="C158" s="162" t="s">
        <v>28</v>
      </c>
      <c r="D158" s="163">
        <v>15</v>
      </c>
      <c r="E158" s="163" t="s">
        <v>1</v>
      </c>
      <c r="F158" s="162">
        <v>36</v>
      </c>
      <c r="G158" s="260">
        <f t="shared" si="14"/>
        <v>2.4</v>
      </c>
      <c r="H158" s="68"/>
      <c r="I158" s="69"/>
      <c r="J158" s="240">
        <f t="shared" si="12"/>
        <v>13.09292521994135</v>
      </c>
      <c r="K158" s="240">
        <f t="shared" si="16"/>
        <v>16.366156524926687</v>
      </c>
      <c r="L158" s="240">
        <f t="shared" si="16"/>
        <v>19.639387829912025</v>
      </c>
      <c r="M158" s="240">
        <f t="shared" si="16"/>
        <v>22.912619134897362</v>
      </c>
      <c r="N158" s="240">
        <f t="shared" si="16"/>
        <v>26.1858504398827</v>
      </c>
      <c r="O158" s="240">
        <f t="shared" si="16"/>
        <v>29.459081744868037</v>
      </c>
      <c r="P158" s="240">
        <f t="shared" si="16"/>
        <v>32.732313049853374</v>
      </c>
      <c r="Q158" s="240">
        <f t="shared" si="16"/>
        <v>36.00554435483871</v>
      </c>
      <c r="R158" s="240">
        <f t="shared" si="16"/>
        <v>39.27877565982405</v>
      </c>
      <c r="S158" s="240">
        <f t="shared" si="16"/>
        <v>42.55200696480938</v>
      </c>
      <c r="T158" s="240">
        <f t="shared" si="16"/>
        <v>45.825238269794724</v>
      </c>
      <c r="U158" s="240">
        <f t="shared" si="16"/>
        <v>49.09846957478006</v>
      </c>
      <c r="V158" s="240">
        <f t="shared" si="16"/>
        <v>52.3717008797654</v>
      </c>
      <c r="W158" s="241">
        <f t="shared" si="16"/>
        <v>55.644932184750736</v>
      </c>
    </row>
    <row r="159" spans="2:23" ht="12.75" hidden="1">
      <c r="B159" s="65"/>
      <c r="C159" s="162" t="s">
        <v>81</v>
      </c>
      <c r="D159" s="163">
        <v>13</v>
      </c>
      <c r="E159" s="163"/>
      <c r="F159" s="162">
        <v>29</v>
      </c>
      <c r="G159" s="260">
        <f t="shared" si="14"/>
        <v>2.230769230769231</v>
      </c>
      <c r="H159" s="68"/>
      <c r="I159" s="69"/>
      <c r="J159" s="240">
        <f t="shared" si="12"/>
        <v>14.086181615936898</v>
      </c>
      <c r="K159" s="240">
        <f t="shared" si="16"/>
        <v>17.60772701992112</v>
      </c>
      <c r="L159" s="240">
        <f t="shared" si="16"/>
        <v>21.129272423905345</v>
      </c>
      <c r="M159" s="240">
        <f t="shared" si="16"/>
        <v>24.650817827889572</v>
      </c>
      <c r="N159" s="240">
        <f t="shared" si="16"/>
        <v>28.172363231873796</v>
      </c>
      <c r="O159" s="240">
        <f t="shared" si="16"/>
        <v>31.69390863585802</v>
      </c>
      <c r="P159" s="240">
        <f t="shared" si="16"/>
        <v>35.21545403984224</v>
      </c>
      <c r="Q159" s="240">
        <f t="shared" si="16"/>
        <v>38.73699944382646</v>
      </c>
      <c r="R159" s="240">
        <f t="shared" si="16"/>
        <v>42.25854484781069</v>
      </c>
      <c r="S159" s="240">
        <f t="shared" si="16"/>
        <v>45.78009025179492</v>
      </c>
      <c r="T159" s="240">
        <f t="shared" si="16"/>
        <v>49.301635655779144</v>
      </c>
      <c r="U159" s="240">
        <f t="shared" si="16"/>
        <v>52.82318105976338</v>
      </c>
      <c r="V159" s="240">
        <f t="shared" si="16"/>
        <v>56.34472646374759</v>
      </c>
      <c r="W159" s="241">
        <f t="shared" si="16"/>
        <v>59.86627186773182</v>
      </c>
    </row>
    <row r="160" spans="2:23" ht="12.75" hidden="1">
      <c r="B160" s="65"/>
      <c r="C160" s="164" t="s">
        <v>53</v>
      </c>
      <c r="D160" s="165">
        <v>16</v>
      </c>
      <c r="E160" s="165"/>
      <c r="F160" s="164">
        <v>35</v>
      </c>
      <c r="G160" s="261">
        <f t="shared" si="14"/>
        <v>2.1875</v>
      </c>
      <c r="H160" s="68"/>
      <c r="I160" s="69"/>
      <c r="J160" s="240">
        <f t="shared" si="12"/>
        <v>14.364809384164221</v>
      </c>
      <c r="K160" s="240">
        <f t="shared" si="16"/>
        <v>17.95601173020528</v>
      </c>
      <c r="L160" s="240">
        <f t="shared" si="16"/>
        <v>21.54721407624633</v>
      </c>
      <c r="M160" s="240">
        <f t="shared" si="16"/>
        <v>25.13841642228739</v>
      </c>
      <c r="N160" s="240">
        <f t="shared" si="16"/>
        <v>28.729618768328443</v>
      </c>
      <c r="O160" s="240">
        <f t="shared" si="16"/>
        <v>32.3208211143695</v>
      </c>
      <c r="P160" s="240">
        <f t="shared" si="16"/>
        <v>35.91202346041056</v>
      </c>
      <c r="Q160" s="240">
        <f t="shared" si="16"/>
        <v>39.50322580645162</v>
      </c>
      <c r="R160" s="240">
        <f t="shared" si="16"/>
        <v>43.09442815249266</v>
      </c>
      <c r="S160" s="240">
        <f t="shared" si="16"/>
        <v>46.685630498533726</v>
      </c>
      <c r="T160" s="240">
        <f t="shared" si="16"/>
        <v>50.27683284457478</v>
      </c>
      <c r="U160" s="240">
        <f t="shared" si="16"/>
        <v>53.868035190615835</v>
      </c>
      <c r="V160" s="240">
        <f t="shared" si="16"/>
        <v>57.459237536656886</v>
      </c>
      <c r="W160" s="241">
        <f t="shared" si="16"/>
        <v>61.050439882697944</v>
      </c>
    </row>
    <row r="161" spans="2:23" ht="12.75" hidden="1">
      <c r="B161" s="65"/>
      <c r="C161" s="67"/>
      <c r="D161" s="68"/>
      <c r="E161" s="68"/>
      <c r="F161" s="67"/>
      <c r="G161" s="262"/>
      <c r="H161" s="68"/>
      <c r="I161" s="69"/>
      <c r="J161" s="242">
        <v>2000</v>
      </c>
      <c r="K161" s="242">
        <v>2500</v>
      </c>
      <c r="L161" s="242">
        <v>3000</v>
      </c>
      <c r="M161" s="242">
        <v>3500</v>
      </c>
      <c r="N161" s="242">
        <v>4000</v>
      </c>
      <c r="O161" s="242">
        <v>4500</v>
      </c>
      <c r="P161" s="242">
        <v>5000</v>
      </c>
      <c r="Q161" s="242">
        <v>5500</v>
      </c>
      <c r="R161" s="242">
        <v>6000</v>
      </c>
      <c r="S161" s="242">
        <v>6500</v>
      </c>
      <c r="T161" s="242">
        <v>7000</v>
      </c>
      <c r="U161" s="242">
        <v>7500</v>
      </c>
      <c r="V161" s="242">
        <v>8000</v>
      </c>
      <c r="W161" s="243">
        <v>8500</v>
      </c>
    </row>
    <row r="162" spans="2:23" ht="12.75" hidden="1">
      <c r="B162" s="182" t="s">
        <v>29</v>
      </c>
      <c r="C162" s="184" t="s">
        <v>94</v>
      </c>
      <c r="D162" s="185">
        <v>15</v>
      </c>
      <c r="E162" s="186" t="s">
        <v>1</v>
      </c>
      <c r="F162" s="184">
        <v>36</v>
      </c>
      <c r="G162" s="253">
        <f t="shared" si="14"/>
        <v>2.4</v>
      </c>
      <c r="H162" s="251" t="s">
        <v>77</v>
      </c>
      <c r="I162" s="69"/>
      <c r="J162" s="240">
        <f aca="true" t="shared" si="17" ref="J162:W176">(((J$151/$G162/$G$89)*60)*$G$92)/$J$92</f>
        <v>13.09292521994135</v>
      </c>
      <c r="K162" s="240">
        <f t="shared" si="17"/>
        <v>16.366156524926687</v>
      </c>
      <c r="L162" s="240">
        <f t="shared" si="17"/>
        <v>19.639387829912025</v>
      </c>
      <c r="M162" s="240">
        <f t="shared" si="17"/>
        <v>22.912619134897362</v>
      </c>
      <c r="N162" s="240">
        <f t="shared" si="17"/>
        <v>26.1858504398827</v>
      </c>
      <c r="O162" s="240">
        <f t="shared" si="17"/>
        <v>29.459081744868037</v>
      </c>
      <c r="P162" s="240">
        <f t="shared" si="17"/>
        <v>32.732313049853374</v>
      </c>
      <c r="Q162" s="240">
        <f t="shared" si="17"/>
        <v>36.00554435483871</v>
      </c>
      <c r="R162" s="240">
        <f t="shared" si="17"/>
        <v>39.27877565982405</v>
      </c>
      <c r="S162" s="240">
        <f t="shared" si="17"/>
        <v>42.55200696480938</v>
      </c>
      <c r="T162" s="240">
        <f t="shared" si="17"/>
        <v>45.825238269794724</v>
      </c>
      <c r="U162" s="240">
        <f t="shared" si="17"/>
        <v>49.09846957478006</v>
      </c>
      <c r="V162" s="240">
        <f t="shared" si="17"/>
        <v>52.3717008797654</v>
      </c>
      <c r="W162" s="241">
        <f t="shared" si="17"/>
        <v>55.644932184750736</v>
      </c>
    </row>
    <row r="163" spans="2:23" ht="12.75" hidden="1">
      <c r="B163" s="239" t="s">
        <v>95</v>
      </c>
      <c r="C163" s="187" t="s">
        <v>96</v>
      </c>
      <c r="D163" s="188">
        <v>16</v>
      </c>
      <c r="E163" s="189" t="s">
        <v>1</v>
      </c>
      <c r="F163" s="187">
        <v>35</v>
      </c>
      <c r="G163" s="254">
        <f t="shared" si="14"/>
        <v>2.1875</v>
      </c>
      <c r="H163" s="251" t="s">
        <v>77</v>
      </c>
      <c r="I163" s="69"/>
      <c r="J163" s="240">
        <f t="shared" si="17"/>
        <v>14.364809384164221</v>
      </c>
      <c r="K163" s="240">
        <f t="shared" si="17"/>
        <v>17.95601173020528</v>
      </c>
      <c r="L163" s="240">
        <f t="shared" si="17"/>
        <v>21.54721407624633</v>
      </c>
      <c r="M163" s="240">
        <f t="shared" si="17"/>
        <v>25.13841642228739</v>
      </c>
      <c r="N163" s="240">
        <f t="shared" si="17"/>
        <v>28.729618768328443</v>
      </c>
      <c r="O163" s="240">
        <f t="shared" si="17"/>
        <v>32.3208211143695</v>
      </c>
      <c r="P163" s="240">
        <f t="shared" si="17"/>
        <v>35.91202346041056</v>
      </c>
      <c r="Q163" s="240">
        <f t="shared" si="17"/>
        <v>39.50322580645162</v>
      </c>
      <c r="R163" s="240">
        <f t="shared" si="17"/>
        <v>43.09442815249266</v>
      </c>
      <c r="S163" s="240">
        <f t="shared" si="17"/>
        <v>46.685630498533726</v>
      </c>
      <c r="T163" s="240">
        <f t="shared" si="17"/>
        <v>50.27683284457478</v>
      </c>
      <c r="U163" s="240">
        <f t="shared" si="17"/>
        <v>53.868035190615835</v>
      </c>
      <c r="V163" s="240">
        <f t="shared" si="17"/>
        <v>57.459237536656886</v>
      </c>
      <c r="W163" s="241">
        <f t="shared" si="17"/>
        <v>61.050439882697944</v>
      </c>
    </row>
    <row r="164" spans="2:23" ht="12.75" hidden="1">
      <c r="B164" s="71"/>
      <c r="C164" s="187" t="s">
        <v>97</v>
      </c>
      <c r="D164" s="188">
        <v>17</v>
      </c>
      <c r="E164" s="189" t="s">
        <v>1</v>
      </c>
      <c r="F164" s="187">
        <v>34</v>
      </c>
      <c r="G164" s="254">
        <f t="shared" si="14"/>
        <v>2</v>
      </c>
      <c r="H164" s="251" t="s">
        <v>77</v>
      </c>
      <c r="I164" s="69"/>
      <c r="J164" s="240">
        <f t="shared" si="17"/>
        <v>15.711510263929616</v>
      </c>
      <c r="K164" s="240">
        <f t="shared" si="17"/>
        <v>19.639387829912025</v>
      </c>
      <c r="L164" s="240">
        <f t="shared" si="17"/>
        <v>23.567265395894424</v>
      </c>
      <c r="M164" s="240">
        <f t="shared" si="17"/>
        <v>27.49514296187683</v>
      </c>
      <c r="N164" s="240">
        <f t="shared" si="17"/>
        <v>31.423020527859233</v>
      </c>
      <c r="O164" s="240">
        <f t="shared" si="17"/>
        <v>35.35089809384164</v>
      </c>
      <c r="P164" s="240">
        <f t="shared" si="17"/>
        <v>39.27877565982405</v>
      </c>
      <c r="Q164" s="240">
        <f t="shared" si="17"/>
        <v>43.20665322580645</v>
      </c>
      <c r="R164" s="240">
        <f t="shared" si="17"/>
        <v>47.13453079178885</v>
      </c>
      <c r="S164" s="240">
        <f t="shared" si="17"/>
        <v>51.06240835777126</v>
      </c>
      <c r="T164" s="240">
        <f t="shared" si="17"/>
        <v>54.99028592375366</v>
      </c>
      <c r="U164" s="240">
        <f t="shared" si="17"/>
        <v>58.918163489736074</v>
      </c>
      <c r="V164" s="240">
        <f t="shared" si="17"/>
        <v>62.846041055718466</v>
      </c>
      <c r="W164" s="241">
        <f t="shared" si="17"/>
        <v>66.77391862170087</v>
      </c>
    </row>
    <row r="165" spans="2:23" ht="12.75" hidden="1">
      <c r="B165" s="71"/>
      <c r="C165" s="187" t="s">
        <v>105</v>
      </c>
      <c r="D165" s="188">
        <v>15</v>
      </c>
      <c r="E165" s="189" t="s">
        <v>1</v>
      </c>
      <c r="F165" s="187">
        <v>30</v>
      </c>
      <c r="G165" s="254">
        <f t="shared" si="14"/>
        <v>2</v>
      </c>
      <c r="H165" s="251" t="s">
        <v>77</v>
      </c>
      <c r="I165" s="69"/>
      <c r="J165" s="240">
        <f t="shared" si="17"/>
        <v>15.711510263929616</v>
      </c>
      <c r="K165" s="240">
        <f t="shared" si="17"/>
        <v>19.639387829912025</v>
      </c>
      <c r="L165" s="240">
        <f t="shared" si="17"/>
        <v>23.567265395894424</v>
      </c>
      <c r="M165" s="240">
        <f t="shared" si="17"/>
        <v>27.49514296187683</v>
      </c>
      <c r="N165" s="240">
        <f t="shared" si="17"/>
        <v>31.423020527859233</v>
      </c>
      <c r="O165" s="240">
        <f t="shared" si="17"/>
        <v>35.35089809384164</v>
      </c>
      <c r="P165" s="240">
        <f t="shared" si="17"/>
        <v>39.27877565982405</v>
      </c>
      <c r="Q165" s="240">
        <f t="shared" si="17"/>
        <v>43.20665322580645</v>
      </c>
      <c r="R165" s="240">
        <f t="shared" si="17"/>
        <v>47.13453079178885</v>
      </c>
      <c r="S165" s="240">
        <f t="shared" si="17"/>
        <v>51.06240835777126</v>
      </c>
      <c r="T165" s="240">
        <f t="shared" si="17"/>
        <v>54.99028592375366</v>
      </c>
      <c r="U165" s="240">
        <f t="shared" si="17"/>
        <v>58.918163489736074</v>
      </c>
      <c r="V165" s="240">
        <f t="shared" si="17"/>
        <v>62.846041055718466</v>
      </c>
      <c r="W165" s="241">
        <f t="shared" si="17"/>
        <v>66.77391862170087</v>
      </c>
    </row>
    <row r="166" spans="2:23" ht="12.75" hidden="1">
      <c r="B166" s="71"/>
      <c r="C166" s="176" t="s">
        <v>55</v>
      </c>
      <c r="D166" s="177">
        <v>18</v>
      </c>
      <c r="E166" s="177" t="s">
        <v>1</v>
      </c>
      <c r="F166" s="176">
        <v>34</v>
      </c>
      <c r="G166" s="255">
        <f t="shared" si="14"/>
        <v>1.8888888888888888</v>
      </c>
      <c r="H166" s="252" t="s">
        <v>79</v>
      </c>
      <c r="I166" s="250" t="s">
        <v>110</v>
      </c>
      <c r="J166" s="244">
        <f t="shared" si="17"/>
        <v>16.635716750043123</v>
      </c>
      <c r="K166" s="244">
        <f t="shared" si="17"/>
        <v>20.794645937553906</v>
      </c>
      <c r="L166" s="244">
        <f t="shared" si="17"/>
        <v>24.953575125064688</v>
      </c>
      <c r="M166" s="244">
        <f t="shared" si="17"/>
        <v>29.112504312575467</v>
      </c>
      <c r="N166" s="244">
        <f t="shared" si="17"/>
        <v>33.271433500086246</v>
      </c>
      <c r="O166" s="244">
        <f t="shared" si="17"/>
        <v>37.43036268759704</v>
      </c>
      <c r="P166" s="244">
        <f t="shared" si="17"/>
        <v>41.58929187510781</v>
      </c>
      <c r="Q166" s="244">
        <f t="shared" si="17"/>
        <v>45.74822106261859</v>
      </c>
      <c r="R166" s="244">
        <f t="shared" si="17"/>
        <v>49.907150250129376</v>
      </c>
      <c r="S166" s="244">
        <f t="shared" si="17"/>
        <v>54.06607943764016</v>
      </c>
      <c r="T166" s="244">
        <f t="shared" si="17"/>
        <v>58.225008625150934</v>
      </c>
      <c r="U166" s="244">
        <f t="shared" si="17"/>
        <v>62.38393781266172</v>
      </c>
      <c r="V166" s="244">
        <f t="shared" si="17"/>
        <v>66.54286700017249</v>
      </c>
      <c r="W166" s="245">
        <f t="shared" si="17"/>
        <v>70.70179618768329</v>
      </c>
    </row>
    <row r="167" spans="2:23" ht="12.75" hidden="1">
      <c r="B167" s="71"/>
      <c r="C167" s="187" t="s">
        <v>98</v>
      </c>
      <c r="D167" s="188">
        <v>18</v>
      </c>
      <c r="E167" s="188" t="s">
        <v>1</v>
      </c>
      <c r="F167" s="187">
        <v>34</v>
      </c>
      <c r="G167" s="254">
        <f t="shared" si="14"/>
        <v>1.8888888888888888</v>
      </c>
      <c r="H167" s="251" t="s">
        <v>77</v>
      </c>
      <c r="I167" s="69"/>
      <c r="J167" s="240">
        <f t="shared" si="17"/>
        <v>16.635716750043123</v>
      </c>
      <c r="K167" s="240">
        <f t="shared" si="17"/>
        <v>20.794645937553906</v>
      </c>
      <c r="L167" s="240">
        <f t="shared" si="17"/>
        <v>24.953575125064688</v>
      </c>
      <c r="M167" s="240">
        <f t="shared" si="17"/>
        <v>29.112504312575467</v>
      </c>
      <c r="N167" s="240">
        <f t="shared" si="17"/>
        <v>33.271433500086246</v>
      </c>
      <c r="O167" s="240">
        <f t="shared" si="17"/>
        <v>37.43036268759704</v>
      </c>
      <c r="P167" s="240">
        <f t="shared" si="17"/>
        <v>41.58929187510781</v>
      </c>
      <c r="Q167" s="240">
        <f t="shared" si="17"/>
        <v>45.74822106261859</v>
      </c>
      <c r="R167" s="240">
        <f t="shared" si="17"/>
        <v>49.907150250129376</v>
      </c>
      <c r="S167" s="240">
        <f t="shared" si="17"/>
        <v>54.06607943764016</v>
      </c>
      <c r="T167" s="240">
        <f t="shared" si="17"/>
        <v>58.225008625150934</v>
      </c>
      <c r="U167" s="240">
        <f t="shared" si="17"/>
        <v>62.38393781266172</v>
      </c>
      <c r="V167" s="240">
        <f t="shared" si="17"/>
        <v>66.54286700017249</v>
      </c>
      <c r="W167" s="241">
        <f t="shared" si="17"/>
        <v>70.70179618768329</v>
      </c>
    </row>
    <row r="168" spans="2:23" ht="12.75" hidden="1">
      <c r="B168" s="71"/>
      <c r="C168" s="187" t="s">
        <v>99</v>
      </c>
      <c r="D168" s="188">
        <v>18</v>
      </c>
      <c r="E168" s="189" t="s">
        <v>1</v>
      </c>
      <c r="F168" s="187">
        <v>33</v>
      </c>
      <c r="G168" s="254">
        <f t="shared" si="14"/>
        <v>1.8333333333333333</v>
      </c>
      <c r="H168" s="251" t="s">
        <v>77</v>
      </c>
      <c r="I168" s="69"/>
      <c r="J168" s="240">
        <f t="shared" si="17"/>
        <v>17.13982937883231</v>
      </c>
      <c r="K168" s="240">
        <f t="shared" si="17"/>
        <v>21.42478672354039</v>
      </c>
      <c r="L168" s="240">
        <f t="shared" si="17"/>
        <v>25.709744068248465</v>
      </c>
      <c r="M168" s="240">
        <f t="shared" si="17"/>
        <v>29.994701412956548</v>
      </c>
      <c r="N168" s="240">
        <f t="shared" si="17"/>
        <v>34.27965875766462</v>
      </c>
      <c r="O168" s="240">
        <f t="shared" si="17"/>
        <v>38.564616102372696</v>
      </c>
      <c r="P168" s="240">
        <f t="shared" si="17"/>
        <v>42.84957344708078</v>
      </c>
      <c r="Q168" s="240">
        <f t="shared" si="17"/>
        <v>47.13453079178885</v>
      </c>
      <c r="R168" s="240">
        <f t="shared" si="17"/>
        <v>51.41948813649693</v>
      </c>
      <c r="S168" s="240">
        <f t="shared" si="17"/>
        <v>55.704445481205006</v>
      </c>
      <c r="T168" s="240">
        <f t="shared" si="17"/>
        <v>59.989402825913096</v>
      </c>
      <c r="U168" s="240">
        <f t="shared" si="17"/>
        <v>64.27436017062116</v>
      </c>
      <c r="V168" s="240">
        <f t="shared" si="17"/>
        <v>68.55931751532924</v>
      </c>
      <c r="W168" s="241">
        <f t="shared" si="17"/>
        <v>72.84427486003732</v>
      </c>
    </row>
    <row r="169" spans="2:23" ht="12.75" hidden="1">
      <c r="B169" s="71"/>
      <c r="C169" s="187" t="s">
        <v>100</v>
      </c>
      <c r="D169" s="188">
        <v>16</v>
      </c>
      <c r="E169" s="189" t="s">
        <v>1</v>
      </c>
      <c r="F169" s="187">
        <v>29</v>
      </c>
      <c r="G169" s="254">
        <f t="shared" si="14"/>
        <v>1.8125</v>
      </c>
      <c r="H169" s="251" t="s">
        <v>77</v>
      </c>
      <c r="I169" s="69"/>
      <c r="J169" s="240">
        <f t="shared" si="17"/>
        <v>17.33683891192234</v>
      </c>
      <c r="K169" s="240">
        <f t="shared" si="17"/>
        <v>21.671048639902924</v>
      </c>
      <c r="L169" s="240">
        <f t="shared" si="17"/>
        <v>26.00525836788351</v>
      </c>
      <c r="M169" s="240">
        <f t="shared" si="17"/>
        <v>30.33946809586409</v>
      </c>
      <c r="N169" s="240">
        <f t="shared" si="17"/>
        <v>34.67367782384468</v>
      </c>
      <c r="O169" s="240">
        <f t="shared" si="17"/>
        <v>39.00788755182526</v>
      </c>
      <c r="P169" s="240">
        <f t="shared" si="17"/>
        <v>43.34209727980585</v>
      </c>
      <c r="Q169" s="240">
        <f t="shared" si="17"/>
        <v>47.67630700778643</v>
      </c>
      <c r="R169" s="240">
        <f t="shared" si="17"/>
        <v>52.01051673576702</v>
      </c>
      <c r="S169" s="240">
        <f t="shared" si="17"/>
        <v>56.34472646374759</v>
      </c>
      <c r="T169" s="240">
        <f t="shared" si="17"/>
        <v>60.67893619172818</v>
      </c>
      <c r="U169" s="240">
        <f t="shared" si="17"/>
        <v>65.01314591970876</v>
      </c>
      <c r="V169" s="240">
        <f t="shared" si="17"/>
        <v>69.34735564768935</v>
      </c>
      <c r="W169" s="241">
        <f t="shared" si="17"/>
        <v>73.68156537566993</v>
      </c>
    </row>
    <row r="170" spans="2:23" ht="12.75" hidden="1">
      <c r="B170" s="71"/>
      <c r="C170" s="178" t="s">
        <v>56</v>
      </c>
      <c r="D170" s="179">
        <v>18</v>
      </c>
      <c r="E170" s="179"/>
      <c r="F170" s="178">
        <v>32</v>
      </c>
      <c r="G170" s="256">
        <f t="shared" si="14"/>
        <v>1.7777777777777777</v>
      </c>
      <c r="H170" s="252" t="s">
        <v>79</v>
      </c>
      <c r="I170" s="69"/>
      <c r="J170" s="240">
        <f t="shared" si="17"/>
        <v>17.67544904692082</v>
      </c>
      <c r="K170" s="240">
        <f t="shared" si="17"/>
        <v>22.094311308651026</v>
      </c>
      <c r="L170" s="240">
        <f t="shared" si="17"/>
        <v>26.513173570381227</v>
      </c>
      <c r="M170" s="240">
        <f t="shared" si="17"/>
        <v>30.93203583211143</v>
      </c>
      <c r="N170" s="240">
        <f t="shared" si="17"/>
        <v>35.35089809384164</v>
      </c>
      <c r="O170" s="240">
        <f t="shared" si="17"/>
        <v>39.76976035557184</v>
      </c>
      <c r="P170" s="240">
        <f t="shared" si="17"/>
        <v>44.18862261730205</v>
      </c>
      <c r="Q170" s="240">
        <f t="shared" si="17"/>
        <v>48.607484879032256</v>
      </c>
      <c r="R170" s="240">
        <f t="shared" si="17"/>
        <v>53.026347140762454</v>
      </c>
      <c r="S170" s="240">
        <f t="shared" si="17"/>
        <v>57.445209402492665</v>
      </c>
      <c r="T170" s="240">
        <f t="shared" si="17"/>
        <v>61.86407166422286</v>
      </c>
      <c r="U170" s="240">
        <f t="shared" si="17"/>
        <v>66.28293392595307</v>
      </c>
      <c r="V170" s="240">
        <f t="shared" si="17"/>
        <v>70.70179618768329</v>
      </c>
      <c r="W170" s="241">
        <f t="shared" si="17"/>
        <v>75.12065844941348</v>
      </c>
    </row>
    <row r="171" spans="2:23" ht="12.75" hidden="1">
      <c r="B171" s="71"/>
      <c r="C171" s="187" t="s">
        <v>93</v>
      </c>
      <c r="D171" s="188">
        <v>18</v>
      </c>
      <c r="E171" s="188"/>
      <c r="F171" s="187">
        <v>32</v>
      </c>
      <c r="G171" s="254">
        <f t="shared" si="14"/>
        <v>1.7777777777777777</v>
      </c>
      <c r="H171" s="251" t="s">
        <v>77</v>
      </c>
      <c r="I171" s="69"/>
      <c r="J171" s="240">
        <f t="shared" si="17"/>
        <v>17.67544904692082</v>
      </c>
      <c r="K171" s="240">
        <f t="shared" si="17"/>
        <v>22.094311308651026</v>
      </c>
      <c r="L171" s="240">
        <f t="shared" si="17"/>
        <v>26.513173570381227</v>
      </c>
      <c r="M171" s="240">
        <f t="shared" si="17"/>
        <v>30.93203583211143</v>
      </c>
      <c r="N171" s="240">
        <f t="shared" si="17"/>
        <v>35.35089809384164</v>
      </c>
      <c r="O171" s="240">
        <f t="shared" si="17"/>
        <v>39.76976035557184</v>
      </c>
      <c r="P171" s="240">
        <f t="shared" si="17"/>
        <v>44.18862261730205</v>
      </c>
      <c r="Q171" s="240">
        <f t="shared" si="17"/>
        <v>48.607484879032256</v>
      </c>
      <c r="R171" s="240">
        <f t="shared" si="17"/>
        <v>53.026347140762454</v>
      </c>
      <c r="S171" s="240">
        <f t="shared" si="17"/>
        <v>57.445209402492665</v>
      </c>
      <c r="T171" s="240">
        <f t="shared" si="17"/>
        <v>61.86407166422286</v>
      </c>
      <c r="U171" s="240">
        <f t="shared" si="17"/>
        <v>66.28293392595307</v>
      </c>
      <c r="V171" s="240">
        <f t="shared" si="17"/>
        <v>70.70179618768329</v>
      </c>
      <c r="W171" s="241">
        <f t="shared" si="17"/>
        <v>75.12065844941348</v>
      </c>
    </row>
    <row r="172" spans="2:23" ht="12.75" hidden="1">
      <c r="B172" s="71"/>
      <c r="C172" s="176" t="s">
        <v>78</v>
      </c>
      <c r="D172" s="177">
        <v>17</v>
      </c>
      <c r="E172" s="177" t="s">
        <v>1</v>
      </c>
      <c r="F172" s="176">
        <v>30</v>
      </c>
      <c r="G172" s="255">
        <f t="shared" si="14"/>
        <v>1.7647058823529411</v>
      </c>
      <c r="H172" s="252" t="s">
        <v>79</v>
      </c>
      <c r="I172" s="69"/>
      <c r="J172" s="240">
        <f t="shared" si="17"/>
        <v>17.806378299120233</v>
      </c>
      <c r="K172" s="240">
        <f t="shared" si="17"/>
        <v>22.25797287390029</v>
      </c>
      <c r="L172" s="240">
        <f t="shared" si="17"/>
        <v>26.709567448680353</v>
      </c>
      <c r="M172" s="240">
        <f t="shared" si="17"/>
        <v>31.16116202346041</v>
      </c>
      <c r="N172" s="240">
        <f t="shared" si="17"/>
        <v>35.612756598240466</v>
      </c>
      <c r="O172" s="240">
        <f t="shared" si="17"/>
        <v>40.064351173020526</v>
      </c>
      <c r="P172" s="240">
        <f t="shared" si="17"/>
        <v>44.51594574780058</v>
      </c>
      <c r="Q172" s="240">
        <f t="shared" si="17"/>
        <v>48.96754032258064</v>
      </c>
      <c r="R172" s="240">
        <f t="shared" si="17"/>
        <v>53.419134897360706</v>
      </c>
      <c r="S172" s="240">
        <f t="shared" si="17"/>
        <v>57.870729472140766</v>
      </c>
      <c r="T172" s="240">
        <f t="shared" si="17"/>
        <v>62.32232404692082</v>
      </c>
      <c r="U172" s="240">
        <f t="shared" si="17"/>
        <v>66.77391862170087</v>
      </c>
      <c r="V172" s="240">
        <f t="shared" si="17"/>
        <v>71.22551319648093</v>
      </c>
      <c r="W172" s="241">
        <f t="shared" si="17"/>
        <v>75.677107771261</v>
      </c>
    </row>
    <row r="173" spans="2:23" ht="12.75" hidden="1">
      <c r="B173" s="71"/>
      <c r="C173" s="187" t="s">
        <v>101</v>
      </c>
      <c r="D173" s="188">
        <v>17</v>
      </c>
      <c r="E173" s="189" t="s">
        <v>1</v>
      </c>
      <c r="F173" s="190">
        <v>29</v>
      </c>
      <c r="G173" s="257">
        <f t="shared" si="14"/>
        <v>1.7058823529411764</v>
      </c>
      <c r="H173" s="251" t="s">
        <v>77</v>
      </c>
      <c r="I173" s="69"/>
      <c r="J173" s="240">
        <f t="shared" si="17"/>
        <v>18.420391343917483</v>
      </c>
      <c r="K173" s="240">
        <f t="shared" si="17"/>
        <v>23.025489179896855</v>
      </c>
      <c r="L173" s="240">
        <f t="shared" si="17"/>
        <v>27.630587015876223</v>
      </c>
      <c r="M173" s="240">
        <f t="shared" si="17"/>
        <v>32.235684851855595</v>
      </c>
      <c r="N173" s="240">
        <f t="shared" si="17"/>
        <v>36.84078268783497</v>
      </c>
      <c r="O173" s="240">
        <f t="shared" si="17"/>
        <v>41.44588052381433</v>
      </c>
      <c r="P173" s="240">
        <f t="shared" si="17"/>
        <v>46.05097835979371</v>
      </c>
      <c r="Q173" s="240">
        <f t="shared" si="17"/>
        <v>50.65607619577308</v>
      </c>
      <c r="R173" s="240">
        <f t="shared" si="17"/>
        <v>55.26117403175245</v>
      </c>
      <c r="S173" s="240">
        <f t="shared" si="17"/>
        <v>59.86627186773182</v>
      </c>
      <c r="T173" s="240">
        <f t="shared" si="17"/>
        <v>64.47136970371119</v>
      </c>
      <c r="U173" s="240">
        <f t="shared" si="17"/>
        <v>69.07646753969057</v>
      </c>
      <c r="V173" s="240">
        <f t="shared" si="17"/>
        <v>73.68156537566993</v>
      </c>
      <c r="W173" s="241">
        <f t="shared" si="17"/>
        <v>78.28666321164931</v>
      </c>
    </row>
    <row r="174" spans="2:23" ht="12.75" hidden="1">
      <c r="B174" s="65"/>
      <c r="C174" s="187" t="s">
        <v>102</v>
      </c>
      <c r="D174" s="188">
        <v>19</v>
      </c>
      <c r="E174" s="189" t="s">
        <v>1</v>
      </c>
      <c r="F174" s="187">
        <v>32</v>
      </c>
      <c r="G174" s="254">
        <f>F174/D174</f>
        <v>1.6842105263157894</v>
      </c>
      <c r="H174" s="251" t="s">
        <v>77</v>
      </c>
      <c r="I174" s="69"/>
      <c r="J174" s="240">
        <f t="shared" si="17"/>
        <v>18.65741843841642</v>
      </c>
      <c r="K174" s="240">
        <f t="shared" si="17"/>
        <v>23.32177304802053</v>
      </c>
      <c r="L174" s="240">
        <f t="shared" si="17"/>
        <v>27.986127657624632</v>
      </c>
      <c r="M174" s="240">
        <f t="shared" si="17"/>
        <v>32.65048226722874</v>
      </c>
      <c r="N174" s="240">
        <f t="shared" si="17"/>
        <v>37.31483687683284</v>
      </c>
      <c r="O174" s="240">
        <f t="shared" si="17"/>
        <v>41.979191486436946</v>
      </c>
      <c r="P174" s="240">
        <f t="shared" si="17"/>
        <v>46.64354609604106</v>
      </c>
      <c r="Q174" s="240">
        <f t="shared" si="17"/>
        <v>51.30790070564516</v>
      </c>
      <c r="R174" s="240">
        <f t="shared" si="17"/>
        <v>55.972255315249264</v>
      </c>
      <c r="S174" s="240">
        <f t="shared" si="17"/>
        <v>60.63660992485336</v>
      </c>
      <c r="T174" s="240">
        <f t="shared" si="17"/>
        <v>65.30096453445748</v>
      </c>
      <c r="U174" s="240">
        <f t="shared" si="17"/>
        <v>69.96531914406157</v>
      </c>
      <c r="V174" s="240">
        <f t="shared" si="17"/>
        <v>74.62967375366568</v>
      </c>
      <c r="W174" s="241">
        <f t="shared" si="17"/>
        <v>79.29402836326979</v>
      </c>
    </row>
    <row r="175" spans="2:23" ht="12.75" hidden="1">
      <c r="B175" s="65"/>
      <c r="C175" s="187" t="s">
        <v>103</v>
      </c>
      <c r="D175" s="188">
        <v>20</v>
      </c>
      <c r="E175" s="189" t="s">
        <v>1</v>
      </c>
      <c r="F175" s="187">
        <v>32</v>
      </c>
      <c r="G175" s="254">
        <f>F175/D175</f>
        <v>1.6</v>
      </c>
      <c r="H175" s="251" t="s">
        <v>77</v>
      </c>
      <c r="I175" s="69"/>
      <c r="J175" s="240">
        <f t="shared" si="17"/>
        <v>19.639387829912025</v>
      </c>
      <c r="K175" s="240">
        <f t="shared" si="17"/>
        <v>24.54923478739003</v>
      </c>
      <c r="L175" s="240">
        <f t="shared" si="17"/>
        <v>29.459081744868037</v>
      </c>
      <c r="M175" s="240">
        <f t="shared" si="17"/>
        <v>34.36892870234605</v>
      </c>
      <c r="N175" s="240">
        <f t="shared" si="17"/>
        <v>39.27877565982405</v>
      </c>
      <c r="O175" s="240">
        <f t="shared" si="17"/>
        <v>44.18862261730205</v>
      </c>
      <c r="P175" s="240">
        <f t="shared" si="17"/>
        <v>49.09846957478006</v>
      </c>
      <c r="Q175" s="240">
        <f t="shared" si="17"/>
        <v>54.00831653225806</v>
      </c>
      <c r="R175" s="240">
        <f t="shared" si="17"/>
        <v>58.918163489736074</v>
      </c>
      <c r="S175" s="240">
        <f t="shared" si="17"/>
        <v>63.82801044721407</v>
      </c>
      <c r="T175" s="240">
        <f t="shared" si="17"/>
        <v>68.7378574046921</v>
      </c>
      <c r="U175" s="240">
        <f t="shared" si="17"/>
        <v>73.64770436217007</v>
      </c>
      <c r="V175" s="240">
        <f t="shared" si="17"/>
        <v>78.5575513196481</v>
      </c>
      <c r="W175" s="241">
        <f t="shared" si="17"/>
        <v>83.4673982771261</v>
      </c>
    </row>
    <row r="176" spans="2:23" ht="12.75" hidden="1">
      <c r="B176" s="65"/>
      <c r="C176" s="191" t="s">
        <v>104</v>
      </c>
      <c r="D176" s="192">
        <v>20</v>
      </c>
      <c r="E176" s="193" t="s">
        <v>1</v>
      </c>
      <c r="F176" s="191">
        <v>31</v>
      </c>
      <c r="G176" s="258">
        <f>F176/D176</f>
        <v>1.55</v>
      </c>
      <c r="H176" s="251" t="s">
        <v>77</v>
      </c>
      <c r="I176" s="69"/>
      <c r="J176" s="240">
        <f>(((J$151/$G176/$G$89)*60)*$G$92)/$J$92</f>
        <v>20.2729164695866</v>
      </c>
      <c r="K176" s="240">
        <f t="shared" si="17"/>
        <v>25.341145586983252</v>
      </c>
      <c r="L176" s="240">
        <f t="shared" si="17"/>
        <v>30.409374704379907</v>
      </c>
      <c r="M176" s="240">
        <f t="shared" si="17"/>
        <v>35.477603821776555</v>
      </c>
      <c r="N176" s="240">
        <f t="shared" si="17"/>
        <v>40.5458329391732</v>
      </c>
      <c r="O176" s="240">
        <f t="shared" si="17"/>
        <v>45.61406205656986</v>
      </c>
      <c r="P176" s="240">
        <f t="shared" si="17"/>
        <v>50.682291173966505</v>
      </c>
      <c r="Q176" s="240">
        <f t="shared" si="17"/>
        <v>55.75052029136316</v>
      </c>
      <c r="R176" s="240">
        <f t="shared" si="17"/>
        <v>60.818749408759814</v>
      </c>
      <c r="S176" s="240">
        <f t="shared" si="17"/>
        <v>65.88697852615645</v>
      </c>
      <c r="T176" s="240">
        <f t="shared" si="17"/>
        <v>70.95520764355311</v>
      </c>
      <c r="U176" s="240">
        <f t="shared" si="17"/>
        <v>76.02343676094976</v>
      </c>
      <c r="V176" s="240">
        <f t="shared" si="17"/>
        <v>81.0916658783464</v>
      </c>
      <c r="W176" s="240">
        <f t="shared" si="17"/>
        <v>86.15989499574306</v>
      </c>
    </row>
    <row r="177" spans="2:23" ht="12.75" hidden="1">
      <c r="B177" s="65"/>
      <c r="C177" s="67"/>
      <c r="D177" s="68"/>
      <c r="E177" s="68"/>
      <c r="F177" s="67"/>
      <c r="G177" s="263"/>
      <c r="H177" s="68"/>
      <c r="I177" s="69"/>
      <c r="J177" s="242">
        <v>2000</v>
      </c>
      <c r="K177" s="242">
        <v>2500</v>
      </c>
      <c r="L177" s="242">
        <v>3000</v>
      </c>
      <c r="M177" s="242">
        <v>3500</v>
      </c>
      <c r="N177" s="242">
        <v>4000</v>
      </c>
      <c r="O177" s="242">
        <v>4500</v>
      </c>
      <c r="P177" s="242">
        <v>5000</v>
      </c>
      <c r="Q177" s="242">
        <v>5500</v>
      </c>
      <c r="R177" s="242">
        <v>6000</v>
      </c>
      <c r="S177" s="242">
        <v>6500</v>
      </c>
      <c r="T177" s="242">
        <v>7000</v>
      </c>
      <c r="U177" s="242">
        <v>7500</v>
      </c>
      <c r="V177" s="242">
        <v>8000</v>
      </c>
      <c r="W177" s="243">
        <v>8500</v>
      </c>
    </row>
    <row r="178" spans="2:23" ht="12.75" hidden="1">
      <c r="B178" s="181" t="s">
        <v>30</v>
      </c>
      <c r="C178" s="166" t="s">
        <v>31</v>
      </c>
      <c r="D178" s="167">
        <v>19</v>
      </c>
      <c r="E178" s="167" t="s">
        <v>1</v>
      </c>
      <c r="F178" s="166">
        <v>32</v>
      </c>
      <c r="G178" s="264">
        <f aca="true" t="shared" si="18" ref="G178:G191">F178/D178</f>
        <v>1.6842105263157894</v>
      </c>
      <c r="H178" s="68"/>
      <c r="I178" s="69"/>
      <c r="J178" s="240">
        <f aca="true" t="shared" si="19" ref="J178:W191">(((J$151/$G178/$G$89)*60)*$G$92)/$J$92</f>
        <v>18.65741843841642</v>
      </c>
      <c r="K178" s="240">
        <f t="shared" si="19"/>
        <v>23.32177304802053</v>
      </c>
      <c r="L178" s="240">
        <f t="shared" si="19"/>
        <v>27.986127657624632</v>
      </c>
      <c r="M178" s="240">
        <f t="shared" si="19"/>
        <v>32.65048226722874</v>
      </c>
      <c r="N178" s="240">
        <f t="shared" si="19"/>
        <v>37.31483687683284</v>
      </c>
      <c r="O178" s="240">
        <f t="shared" si="19"/>
        <v>41.979191486436946</v>
      </c>
      <c r="P178" s="240">
        <f t="shared" si="19"/>
        <v>46.64354609604106</v>
      </c>
      <c r="Q178" s="240">
        <f t="shared" si="19"/>
        <v>51.30790070564516</v>
      </c>
      <c r="R178" s="240">
        <f t="shared" si="19"/>
        <v>55.972255315249264</v>
      </c>
      <c r="S178" s="240">
        <f t="shared" si="19"/>
        <v>60.63660992485336</v>
      </c>
      <c r="T178" s="240">
        <f t="shared" si="19"/>
        <v>65.30096453445748</v>
      </c>
      <c r="U178" s="240">
        <f t="shared" si="19"/>
        <v>69.96531914406157</v>
      </c>
      <c r="V178" s="240">
        <f t="shared" si="19"/>
        <v>74.62967375366568</v>
      </c>
      <c r="W178" s="241">
        <f t="shared" si="19"/>
        <v>79.29402836326979</v>
      </c>
    </row>
    <row r="179" spans="2:23" ht="12.75" hidden="1">
      <c r="B179" s="65"/>
      <c r="C179" s="168" t="s">
        <v>82</v>
      </c>
      <c r="D179" s="169">
        <v>19</v>
      </c>
      <c r="E179" s="169" t="s">
        <v>1</v>
      </c>
      <c r="F179" s="168">
        <v>31</v>
      </c>
      <c r="G179" s="265">
        <f t="shared" si="18"/>
        <v>1.631578947368421</v>
      </c>
      <c r="H179" s="68"/>
      <c r="I179" s="69"/>
      <c r="J179" s="240">
        <f t="shared" si="19"/>
        <v>19.259270646107275</v>
      </c>
      <c r="K179" s="240">
        <f t="shared" si="19"/>
        <v>24.074088307634092</v>
      </c>
      <c r="L179" s="240">
        <f t="shared" si="19"/>
        <v>28.88890596916091</v>
      </c>
      <c r="M179" s="240">
        <f t="shared" si="19"/>
        <v>33.703723630687726</v>
      </c>
      <c r="N179" s="240">
        <f t="shared" si="19"/>
        <v>38.51854129221455</v>
      </c>
      <c r="O179" s="240">
        <f t="shared" si="19"/>
        <v>43.33335895374137</v>
      </c>
      <c r="P179" s="240">
        <f t="shared" si="19"/>
        <v>48.148176615268184</v>
      </c>
      <c r="Q179" s="240">
        <f t="shared" si="19"/>
        <v>52.962994276795</v>
      </c>
      <c r="R179" s="240">
        <f t="shared" si="19"/>
        <v>57.77781193832182</v>
      </c>
      <c r="S179" s="240">
        <f t="shared" si="19"/>
        <v>62.59262959984865</v>
      </c>
      <c r="T179" s="240">
        <f t="shared" si="19"/>
        <v>67.40744726137545</v>
      </c>
      <c r="U179" s="240">
        <f t="shared" si="19"/>
        <v>72.22226492290227</v>
      </c>
      <c r="V179" s="240">
        <f t="shared" si="19"/>
        <v>77.0370825844291</v>
      </c>
      <c r="W179" s="241">
        <f t="shared" si="19"/>
        <v>81.8519002459559</v>
      </c>
    </row>
    <row r="180" spans="2:23" ht="12.75" hidden="1">
      <c r="B180" s="65"/>
      <c r="C180" s="168" t="s">
        <v>32</v>
      </c>
      <c r="D180" s="169">
        <v>20</v>
      </c>
      <c r="E180" s="169" t="s">
        <v>1</v>
      </c>
      <c r="F180" s="168">
        <v>31</v>
      </c>
      <c r="G180" s="265">
        <f t="shared" si="18"/>
        <v>1.55</v>
      </c>
      <c r="H180" s="68"/>
      <c r="I180" s="69"/>
      <c r="J180" s="240">
        <f t="shared" si="19"/>
        <v>20.2729164695866</v>
      </c>
      <c r="K180" s="240">
        <f t="shared" si="19"/>
        <v>25.341145586983252</v>
      </c>
      <c r="L180" s="240">
        <f t="shared" si="19"/>
        <v>30.409374704379907</v>
      </c>
      <c r="M180" s="240">
        <f t="shared" si="19"/>
        <v>35.477603821776555</v>
      </c>
      <c r="N180" s="240">
        <f t="shared" si="19"/>
        <v>40.5458329391732</v>
      </c>
      <c r="O180" s="240">
        <f t="shared" si="19"/>
        <v>45.61406205656986</v>
      </c>
      <c r="P180" s="240">
        <f t="shared" si="19"/>
        <v>50.682291173966505</v>
      </c>
      <c r="Q180" s="240">
        <f t="shared" si="19"/>
        <v>55.75052029136316</v>
      </c>
      <c r="R180" s="240">
        <f t="shared" si="19"/>
        <v>60.818749408759814</v>
      </c>
      <c r="S180" s="240">
        <f t="shared" si="19"/>
        <v>65.88697852615645</v>
      </c>
      <c r="T180" s="240">
        <f t="shared" si="19"/>
        <v>70.95520764355311</v>
      </c>
      <c r="U180" s="240">
        <f t="shared" si="19"/>
        <v>76.02343676094976</v>
      </c>
      <c r="V180" s="240">
        <f t="shared" si="19"/>
        <v>81.0916658783464</v>
      </c>
      <c r="W180" s="241">
        <f t="shared" si="19"/>
        <v>86.15989499574306</v>
      </c>
    </row>
    <row r="181" spans="2:23" ht="12.75" hidden="1">
      <c r="B181" s="65"/>
      <c r="C181" s="168" t="s">
        <v>33</v>
      </c>
      <c r="D181" s="169">
        <v>21</v>
      </c>
      <c r="E181" s="169" t="s">
        <v>1</v>
      </c>
      <c r="F181" s="168">
        <v>31</v>
      </c>
      <c r="G181" s="265">
        <f t="shared" si="18"/>
        <v>1.4761904761904763</v>
      </c>
      <c r="H181" s="68"/>
      <c r="I181" s="69"/>
      <c r="J181" s="240">
        <f t="shared" si="19"/>
        <v>21.28656229306593</v>
      </c>
      <c r="K181" s="240">
        <f t="shared" si="19"/>
        <v>26.608202866332416</v>
      </c>
      <c r="L181" s="240">
        <f t="shared" si="19"/>
        <v>31.9298434395989</v>
      </c>
      <c r="M181" s="240">
        <f t="shared" si="19"/>
        <v>37.251484012865376</v>
      </c>
      <c r="N181" s="240">
        <f t="shared" si="19"/>
        <v>42.57312458613186</v>
      </c>
      <c r="O181" s="240">
        <f t="shared" si="19"/>
        <v>47.89476515939834</v>
      </c>
      <c r="P181" s="240">
        <f t="shared" si="19"/>
        <v>53.21640573266483</v>
      </c>
      <c r="Q181" s="240">
        <f t="shared" si="19"/>
        <v>58.53804630593132</v>
      </c>
      <c r="R181" s="240">
        <f t="shared" si="19"/>
        <v>63.8596868791978</v>
      </c>
      <c r="S181" s="240">
        <f t="shared" si="19"/>
        <v>69.18132745246427</v>
      </c>
      <c r="T181" s="240">
        <f t="shared" si="19"/>
        <v>74.50296802573075</v>
      </c>
      <c r="U181" s="240">
        <f t="shared" si="19"/>
        <v>79.82460859899724</v>
      </c>
      <c r="V181" s="240">
        <f t="shared" si="19"/>
        <v>85.14624917226372</v>
      </c>
      <c r="W181" s="241">
        <f t="shared" si="19"/>
        <v>90.46788974553021</v>
      </c>
    </row>
    <row r="182" spans="2:23" ht="12.75" hidden="1">
      <c r="B182" s="65"/>
      <c r="C182" s="168" t="s">
        <v>34</v>
      </c>
      <c r="D182" s="169">
        <v>21</v>
      </c>
      <c r="E182" s="169" t="s">
        <v>1</v>
      </c>
      <c r="F182" s="168">
        <v>30</v>
      </c>
      <c r="G182" s="265">
        <f t="shared" si="18"/>
        <v>1.4285714285714286</v>
      </c>
      <c r="H182" s="68"/>
      <c r="I182" s="69"/>
      <c r="J182" s="240">
        <f t="shared" si="19"/>
        <v>21.996114369501466</v>
      </c>
      <c r="K182" s="240">
        <f t="shared" si="19"/>
        <v>27.49514296187683</v>
      </c>
      <c r="L182" s="240">
        <f t="shared" si="19"/>
        <v>32.9941715542522</v>
      </c>
      <c r="M182" s="240">
        <f t="shared" si="19"/>
        <v>38.493200146627565</v>
      </c>
      <c r="N182" s="240">
        <f t="shared" si="19"/>
        <v>43.99222873900293</v>
      </c>
      <c r="O182" s="240">
        <f t="shared" si="19"/>
        <v>49.49125733137829</v>
      </c>
      <c r="P182" s="240">
        <f t="shared" si="19"/>
        <v>54.99028592375366</v>
      </c>
      <c r="Q182" s="240">
        <f t="shared" si="19"/>
        <v>60.48931451612903</v>
      </c>
      <c r="R182" s="240">
        <f t="shared" si="19"/>
        <v>65.9883431085044</v>
      </c>
      <c r="S182" s="240">
        <f t="shared" si="19"/>
        <v>71.48737170087975</v>
      </c>
      <c r="T182" s="240">
        <f t="shared" si="19"/>
        <v>76.98640029325513</v>
      </c>
      <c r="U182" s="240">
        <f t="shared" si="19"/>
        <v>82.4854288856305</v>
      </c>
      <c r="V182" s="240">
        <f t="shared" si="19"/>
        <v>87.98445747800587</v>
      </c>
      <c r="W182" s="241">
        <f t="shared" si="19"/>
        <v>93.48348607038123</v>
      </c>
    </row>
    <row r="183" spans="2:23" ht="12.75" hidden="1">
      <c r="B183" s="65"/>
      <c r="C183" s="272" t="s">
        <v>58</v>
      </c>
      <c r="D183" s="175">
        <v>22</v>
      </c>
      <c r="E183" s="175" t="s">
        <v>1</v>
      </c>
      <c r="F183" s="174">
        <v>31</v>
      </c>
      <c r="G183" s="268">
        <f t="shared" si="18"/>
        <v>1.4090909090909092</v>
      </c>
      <c r="H183" s="275" t="s">
        <v>118</v>
      </c>
      <c r="I183" s="69"/>
      <c r="J183" s="240">
        <f t="shared" si="19"/>
        <v>22.300208116545264</v>
      </c>
      <c r="K183" s="240">
        <f t="shared" si="19"/>
        <v>27.875260145681576</v>
      </c>
      <c r="L183" s="240">
        <f t="shared" si="19"/>
        <v>33.450312174817896</v>
      </c>
      <c r="M183" s="240">
        <f t="shared" si="19"/>
        <v>39.025364203954204</v>
      </c>
      <c r="N183" s="240">
        <f t="shared" si="19"/>
        <v>44.60041623309053</v>
      </c>
      <c r="O183" s="240">
        <f t="shared" si="19"/>
        <v>50.175468262226836</v>
      </c>
      <c r="P183" s="240">
        <f t="shared" si="19"/>
        <v>55.75052029136315</v>
      </c>
      <c r="Q183" s="240">
        <f t="shared" si="19"/>
        <v>61.325572320499475</v>
      </c>
      <c r="R183" s="240">
        <f t="shared" si="19"/>
        <v>66.90062434963579</v>
      </c>
      <c r="S183" s="240">
        <f t="shared" si="19"/>
        <v>72.4756763787721</v>
      </c>
      <c r="T183" s="240">
        <f t="shared" si="19"/>
        <v>78.05072840790841</v>
      </c>
      <c r="U183" s="240">
        <f t="shared" si="19"/>
        <v>83.62578043704474</v>
      </c>
      <c r="V183" s="240">
        <f t="shared" si="19"/>
        <v>89.20083246618105</v>
      </c>
      <c r="W183" s="241">
        <f t="shared" si="19"/>
        <v>94.77588449531738</v>
      </c>
    </row>
    <row r="184" spans="2:23" ht="12.75" hidden="1">
      <c r="B184" s="65"/>
      <c r="C184" s="168" t="s">
        <v>35</v>
      </c>
      <c r="D184" s="169">
        <v>22</v>
      </c>
      <c r="E184" s="169" t="s">
        <v>1</v>
      </c>
      <c r="F184" s="168">
        <v>30</v>
      </c>
      <c r="G184" s="265">
        <f t="shared" si="18"/>
        <v>1.3636363636363635</v>
      </c>
      <c r="H184" s="80"/>
      <c r="I184" s="69"/>
      <c r="J184" s="240">
        <f t="shared" si="19"/>
        <v>23.043548387096774</v>
      </c>
      <c r="K184" s="240">
        <f t="shared" si="19"/>
        <v>28.804435483870968</v>
      </c>
      <c r="L184" s="240">
        <f t="shared" si="19"/>
        <v>34.56532258064516</v>
      </c>
      <c r="M184" s="240">
        <f t="shared" si="19"/>
        <v>40.32620967741935</v>
      </c>
      <c r="N184" s="240">
        <f t="shared" si="19"/>
        <v>46.08709677419355</v>
      </c>
      <c r="O184" s="240">
        <f t="shared" si="19"/>
        <v>51.847983870967745</v>
      </c>
      <c r="P184" s="240">
        <f t="shared" si="19"/>
        <v>57.608870967741936</v>
      </c>
      <c r="Q184" s="240">
        <f t="shared" si="19"/>
        <v>63.369758064516134</v>
      </c>
      <c r="R184" s="240">
        <f t="shared" si="19"/>
        <v>69.13064516129032</v>
      </c>
      <c r="S184" s="240">
        <f t="shared" si="19"/>
        <v>74.89153225806452</v>
      </c>
      <c r="T184" s="240">
        <f t="shared" si="19"/>
        <v>80.6524193548387</v>
      </c>
      <c r="U184" s="240">
        <f t="shared" si="19"/>
        <v>86.4133064516129</v>
      </c>
      <c r="V184" s="240">
        <f t="shared" si="19"/>
        <v>92.1741935483871</v>
      </c>
      <c r="W184" s="241">
        <f t="shared" si="19"/>
        <v>97.93508064516128</v>
      </c>
    </row>
    <row r="185" spans="2:23" ht="12.75" hidden="1">
      <c r="B185" s="65"/>
      <c r="C185" s="168" t="s">
        <v>36</v>
      </c>
      <c r="D185" s="169">
        <v>22</v>
      </c>
      <c r="E185" s="169" t="s">
        <v>1</v>
      </c>
      <c r="F185" s="168">
        <v>29</v>
      </c>
      <c r="G185" s="265">
        <f t="shared" si="18"/>
        <v>1.3181818181818181</v>
      </c>
      <c r="H185" s="80"/>
      <c r="I185" s="69"/>
      <c r="J185" s="240">
        <f t="shared" si="19"/>
        <v>23.838153503893214</v>
      </c>
      <c r="K185" s="240">
        <f t="shared" si="19"/>
        <v>29.79769187986652</v>
      </c>
      <c r="L185" s="240">
        <f t="shared" si="19"/>
        <v>35.75723025583982</v>
      </c>
      <c r="M185" s="240">
        <f t="shared" si="19"/>
        <v>41.716768631813125</v>
      </c>
      <c r="N185" s="240">
        <f t="shared" si="19"/>
        <v>47.67630700778643</v>
      </c>
      <c r="O185" s="240">
        <f t="shared" si="19"/>
        <v>53.63584538375974</v>
      </c>
      <c r="P185" s="240">
        <f t="shared" si="19"/>
        <v>59.59538375973304</v>
      </c>
      <c r="Q185" s="240">
        <f t="shared" si="19"/>
        <v>65.55492213570633</v>
      </c>
      <c r="R185" s="240">
        <f t="shared" si="19"/>
        <v>71.51446051167964</v>
      </c>
      <c r="S185" s="240">
        <f t="shared" si="19"/>
        <v>77.47399888765293</v>
      </c>
      <c r="T185" s="240">
        <f t="shared" si="19"/>
        <v>83.43353726362625</v>
      </c>
      <c r="U185" s="240">
        <f t="shared" si="19"/>
        <v>89.39307563959954</v>
      </c>
      <c r="V185" s="240">
        <f t="shared" si="19"/>
        <v>95.35261401557285</v>
      </c>
      <c r="W185" s="241">
        <f t="shared" si="19"/>
        <v>101.31215239154616</v>
      </c>
    </row>
    <row r="186" spans="2:23" ht="12.75" hidden="1">
      <c r="B186" s="65"/>
      <c r="C186" s="168" t="s">
        <v>37</v>
      </c>
      <c r="D186" s="169">
        <v>23</v>
      </c>
      <c r="E186" s="169" t="s">
        <v>1</v>
      </c>
      <c r="F186" s="168">
        <v>29</v>
      </c>
      <c r="G186" s="265">
        <f t="shared" si="18"/>
        <v>1.2608695652173914</v>
      </c>
      <c r="H186" s="80"/>
      <c r="I186" s="250" t="s">
        <v>111</v>
      </c>
      <c r="J186" s="244">
        <f t="shared" si="19"/>
        <v>24.92170593588836</v>
      </c>
      <c r="K186" s="244">
        <f t="shared" si="19"/>
        <v>31.152132419860447</v>
      </c>
      <c r="L186" s="244">
        <f t="shared" si="19"/>
        <v>37.38255890383254</v>
      </c>
      <c r="M186" s="244">
        <f t="shared" si="19"/>
        <v>43.61298538780463</v>
      </c>
      <c r="N186" s="244">
        <f t="shared" si="19"/>
        <v>49.84341187177672</v>
      </c>
      <c r="O186" s="244">
        <f t="shared" si="19"/>
        <v>56.0738383557488</v>
      </c>
      <c r="P186" s="244">
        <f t="shared" si="19"/>
        <v>62.304264839720894</v>
      </c>
      <c r="Q186" s="244">
        <f t="shared" si="19"/>
        <v>68.53469132369298</v>
      </c>
      <c r="R186" s="244">
        <f t="shared" si="19"/>
        <v>74.76511780766508</v>
      </c>
      <c r="S186" s="244">
        <f t="shared" si="19"/>
        <v>80.99554429163716</v>
      </c>
      <c r="T186" s="244">
        <f t="shared" si="19"/>
        <v>87.22597077560926</v>
      </c>
      <c r="U186" s="244">
        <f t="shared" si="19"/>
        <v>93.45639725958137</v>
      </c>
      <c r="V186" s="244">
        <f t="shared" si="19"/>
        <v>99.68682374355345</v>
      </c>
      <c r="W186" s="245">
        <f t="shared" si="19"/>
        <v>105.91725022752551</v>
      </c>
    </row>
    <row r="187" spans="2:23" ht="12.75" hidden="1">
      <c r="B187" s="65"/>
      <c r="C187" s="168" t="s">
        <v>3</v>
      </c>
      <c r="D187" s="169">
        <v>23</v>
      </c>
      <c r="E187" s="169" t="s">
        <v>1</v>
      </c>
      <c r="F187" s="168">
        <v>28</v>
      </c>
      <c r="G187" s="265">
        <f t="shared" si="18"/>
        <v>1.2173913043478262</v>
      </c>
      <c r="H187" s="80"/>
      <c r="I187" s="69"/>
      <c r="J187" s="240">
        <f t="shared" si="19"/>
        <v>25.81176686217008</v>
      </c>
      <c r="K187" s="240">
        <f t="shared" si="19"/>
        <v>32.264708577712604</v>
      </c>
      <c r="L187" s="240">
        <f t="shared" si="19"/>
        <v>38.717650293255126</v>
      </c>
      <c r="M187" s="240">
        <f t="shared" si="19"/>
        <v>45.17059200879765</v>
      </c>
      <c r="N187" s="240">
        <f t="shared" si="19"/>
        <v>51.62353372434016</v>
      </c>
      <c r="O187" s="240">
        <f t="shared" si="19"/>
        <v>58.076475439882685</v>
      </c>
      <c r="P187" s="240">
        <f t="shared" si="19"/>
        <v>64.52941715542521</v>
      </c>
      <c r="Q187" s="240">
        <f t="shared" si="19"/>
        <v>70.98235887096773</v>
      </c>
      <c r="R187" s="240">
        <f t="shared" si="19"/>
        <v>77.43530058651025</v>
      </c>
      <c r="S187" s="240">
        <f t="shared" si="19"/>
        <v>83.88824230205277</v>
      </c>
      <c r="T187" s="240">
        <f t="shared" si="19"/>
        <v>90.3411840175953</v>
      </c>
      <c r="U187" s="240">
        <f t="shared" si="19"/>
        <v>96.79412573313782</v>
      </c>
      <c r="V187" s="240">
        <f t="shared" si="19"/>
        <v>103.24706744868033</v>
      </c>
      <c r="W187" s="241">
        <f t="shared" si="19"/>
        <v>109.70000916422286</v>
      </c>
    </row>
    <row r="188" spans="2:23" ht="12.75" hidden="1">
      <c r="B188" s="65"/>
      <c r="C188" s="168" t="s">
        <v>38</v>
      </c>
      <c r="D188" s="169">
        <v>23</v>
      </c>
      <c r="E188" s="169" t="s">
        <v>1</v>
      </c>
      <c r="F188" s="168">
        <v>27</v>
      </c>
      <c r="G188" s="265">
        <f t="shared" si="18"/>
        <v>1.173913043478261</v>
      </c>
      <c r="H188" s="80"/>
      <c r="I188" s="69"/>
      <c r="J188" s="240">
        <f t="shared" si="19"/>
        <v>26.767758227435642</v>
      </c>
      <c r="K188" s="240">
        <f t="shared" si="19"/>
        <v>33.459697784294555</v>
      </c>
      <c r="L188" s="240">
        <f t="shared" si="19"/>
        <v>40.15163734115346</v>
      </c>
      <c r="M188" s="240">
        <f t="shared" si="19"/>
        <v>46.84357689801237</v>
      </c>
      <c r="N188" s="240">
        <f t="shared" si="19"/>
        <v>53.535516454871285</v>
      </c>
      <c r="O188" s="240">
        <f t="shared" si="19"/>
        <v>60.2274560117302</v>
      </c>
      <c r="P188" s="240">
        <f t="shared" si="19"/>
        <v>66.91939556858911</v>
      </c>
      <c r="Q188" s="240">
        <f t="shared" si="19"/>
        <v>73.61133512544801</v>
      </c>
      <c r="R188" s="240">
        <f t="shared" si="19"/>
        <v>80.30327468230692</v>
      </c>
      <c r="S188" s="240">
        <f t="shared" si="19"/>
        <v>86.99521423916585</v>
      </c>
      <c r="T188" s="240">
        <f t="shared" si="19"/>
        <v>93.68715379602475</v>
      </c>
      <c r="U188" s="240">
        <f t="shared" si="19"/>
        <v>100.37909335288366</v>
      </c>
      <c r="V188" s="240">
        <f t="shared" si="19"/>
        <v>107.07103290974257</v>
      </c>
      <c r="W188" s="241">
        <f t="shared" si="19"/>
        <v>113.76297246660148</v>
      </c>
    </row>
    <row r="189" spans="2:23" ht="12.75" hidden="1">
      <c r="B189" s="65"/>
      <c r="C189" s="272" t="s">
        <v>41</v>
      </c>
      <c r="D189" s="175">
        <v>24</v>
      </c>
      <c r="E189" s="175" t="s">
        <v>1</v>
      </c>
      <c r="F189" s="174">
        <v>28</v>
      </c>
      <c r="G189" s="268">
        <f t="shared" si="18"/>
        <v>1.1666666666666667</v>
      </c>
      <c r="H189" s="275" t="s">
        <v>118</v>
      </c>
      <c r="I189" s="69"/>
      <c r="J189" s="240">
        <f t="shared" si="19"/>
        <v>26.934017595307918</v>
      </c>
      <c r="K189" s="240">
        <f t="shared" si="19"/>
        <v>33.667521994134894</v>
      </c>
      <c r="L189" s="240">
        <f t="shared" si="19"/>
        <v>40.40102639296187</v>
      </c>
      <c r="M189" s="240">
        <f t="shared" si="19"/>
        <v>47.13453079178885</v>
      </c>
      <c r="N189" s="240">
        <f t="shared" si="19"/>
        <v>53.868035190615835</v>
      </c>
      <c r="O189" s="240">
        <f t="shared" si="19"/>
        <v>60.601539589442815</v>
      </c>
      <c r="P189" s="240">
        <f t="shared" si="19"/>
        <v>67.33504398826979</v>
      </c>
      <c r="Q189" s="240">
        <f t="shared" si="19"/>
        <v>74.06854838709675</v>
      </c>
      <c r="R189" s="240">
        <f t="shared" si="19"/>
        <v>80.80205278592373</v>
      </c>
      <c r="S189" s="240">
        <f t="shared" si="19"/>
        <v>87.53555718475072</v>
      </c>
      <c r="T189" s="240">
        <f t="shared" si="19"/>
        <v>94.2690615835777</v>
      </c>
      <c r="U189" s="240">
        <f t="shared" si="19"/>
        <v>101.00256598240469</v>
      </c>
      <c r="V189" s="240">
        <f t="shared" si="19"/>
        <v>107.73607038123167</v>
      </c>
      <c r="W189" s="241">
        <f t="shared" si="19"/>
        <v>114.46957478005865</v>
      </c>
    </row>
    <row r="190" spans="2:23" ht="12.75" hidden="1">
      <c r="B190" s="65"/>
      <c r="C190" s="168" t="s">
        <v>23</v>
      </c>
      <c r="D190" s="169">
        <v>24</v>
      </c>
      <c r="E190" s="169" t="s">
        <v>1</v>
      </c>
      <c r="F190" s="168">
        <v>27</v>
      </c>
      <c r="G190" s="265">
        <f t="shared" si="18"/>
        <v>1.125</v>
      </c>
      <c r="H190" s="80"/>
      <c r="I190" s="69"/>
      <c r="J190" s="240">
        <f t="shared" si="19"/>
        <v>27.93157380254154</v>
      </c>
      <c r="K190" s="240">
        <f t="shared" si="19"/>
        <v>34.91446725317693</v>
      </c>
      <c r="L190" s="240">
        <f t="shared" si="19"/>
        <v>41.89736070381231</v>
      </c>
      <c r="M190" s="240">
        <f t="shared" si="19"/>
        <v>48.8802541544477</v>
      </c>
      <c r="N190" s="240">
        <f t="shared" si="19"/>
        <v>55.86314760508308</v>
      </c>
      <c r="O190" s="240">
        <f t="shared" si="19"/>
        <v>62.846041055718466</v>
      </c>
      <c r="P190" s="240">
        <f t="shared" si="19"/>
        <v>69.82893450635386</v>
      </c>
      <c r="Q190" s="240">
        <f t="shared" si="19"/>
        <v>76.81182795698926</v>
      </c>
      <c r="R190" s="240">
        <f t="shared" si="19"/>
        <v>83.79472140762462</v>
      </c>
      <c r="S190" s="240">
        <f t="shared" si="19"/>
        <v>90.77761485826001</v>
      </c>
      <c r="T190" s="240">
        <f t="shared" si="19"/>
        <v>97.7605083088954</v>
      </c>
      <c r="U190" s="240">
        <f t="shared" si="19"/>
        <v>104.7434017595308</v>
      </c>
      <c r="V190" s="240">
        <f t="shared" si="19"/>
        <v>111.72629521016616</v>
      </c>
      <c r="W190" s="241">
        <f t="shared" si="19"/>
        <v>118.70918866080154</v>
      </c>
    </row>
    <row r="191" spans="2:23" ht="12.75" hidden="1">
      <c r="B191" s="65"/>
      <c r="C191" s="170" t="s">
        <v>39</v>
      </c>
      <c r="D191" s="171">
        <v>25</v>
      </c>
      <c r="E191" s="171" t="s">
        <v>1</v>
      </c>
      <c r="F191" s="170">
        <v>27</v>
      </c>
      <c r="G191" s="266">
        <f t="shared" si="18"/>
        <v>1.08</v>
      </c>
      <c r="H191" s="80"/>
      <c r="I191" s="69"/>
      <c r="J191" s="240">
        <f t="shared" si="19"/>
        <v>29.095389377647436</v>
      </c>
      <c r="K191" s="240">
        <f t="shared" si="19"/>
        <v>36.3692367220593</v>
      </c>
      <c r="L191" s="240">
        <f t="shared" si="19"/>
        <v>43.643084066471154</v>
      </c>
      <c r="M191" s="240">
        <f t="shared" si="19"/>
        <v>50.916931410883016</v>
      </c>
      <c r="N191" s="240">
        <f t="shared" si="19"/>
        <v>58.19077875529487</v>
      </c>
      <c r="O191" s="240">
        <f t="shared" si="19"/>
        <v>65.46462609970673</v>
      </c>
      <c r="P191" s="240">
        <f t="shared" si="19"/>
        <v>72.7384734441186</v>
      </c>
      <c r="Q191" s="240">
        <f t="shared" si="19"/>
        <v>80.01232078853046</v>
      </c>
      <c r="R191" s="240">
        <f t="shared" si="19"/>
        <v>87.28616813294231</v>
      </c>
      <c r="S191" s="240">
        <f t="shared" si="19"/>
        <v>94.5600154773542</v>
      </c>
      <c r="T191" s="240">
        <f t="shared" si="19"/>
        <v>101.83386282176603</v>
      </c>
      <c r="U191" s="240">
        <f t="shared" si="19"/>
        <v>109.1077101661779</v>
      </c>
      <c r="V191" s="240">
        <f t="shared" si="19"/>
        <v>116.38155751058974</v>
      </c>
      <c r="W191" s="241">
        <f t="shared" si="19"/>
        <v>123.65540485500159</v>
      </c>
    </row>
    <row r="192" spans="2:23" ht="12.75" hidden="1">
      <c r="B192" s="65"/>
      <c r="C192" s="67"/>
      <c r="D192" s="68"/>
      <c r="E192" s="68"/>
      <c r="F192" s="67"/>
      <c r="G192" s="263"/>
      <c r="H192" s="80"/>
      <c r="I192" s="69"/>
      <c r="J192" s="242">
        <v>2000</v>
      </c>
      <c r="K192" s="242">
        <v>2500</v>
      </c>
      <c r="L192" s="242">
        <v>3000</v>
      </c>
      <c r="M192" s="242">
        <v>3500</v>
      </c>
      <c r="N192" s="242">
        <v>4000</v>
      </c>
      <c r="O192" s="242">
        <v>4500</v>
      </c>
      <c r="P192" s="242">
        <v>5000</v>
      </c>
      <c r="Q192" s="242">
        <v>5500</v>
      </c>
      <c r="R192" s="242">
        <v>6000</v>
      </c>
      <c r="S192" s="242">
        <v>6500</v>
      </c>
      <c r="T192" s="242">
        <v>7000</v>
      </c>
      <c r="U192" s="242">
        <v>7500</v>
      </c>
      <c r="V192" s="242">
        <v>8000</v>
      </c>
      <c r="W192" s="243">
        <v>8500</v>
      </c>
    </row>
    <row r="193" spans="2:23" ht="12.75" hidden="1">
      <c r="B193" s="183" t="s">
        <v>40</v>
      </c>
      <c r="C193" s="172" t="s">
        <v>36</v>
      </c>
      <c r="D193" s="173">
        <v>22</v>
      </c>
      <c r="E193" s="173" t="s">
        <v>1</v>
      </c>
      <c r="F193" s="172">
        <v>29</v>
      </c>
      <c r="G193" s="267">
        <f aca="true" t="shared" si="20" ref="G193:G198">F193/D193</f>
        <v>1.3181818181818181</v>
      </c>
      <c r="H193" s="80"/>
      <c r="I193" s="69"/>
      <c r="J193" s="240">
        <f aca="true" t="shared" si="21" ref="J193:W201">(((J$151/$G193/$G$89)*60)*$G$92)/$J$92</f>
        <v>23.838153503893214</v>
      </c>
      <c r="K193" s="240">
        <f t="shared" si="21"/>
        <v>29.79769187986652</v>
      </c>
      <c r="L193" s="240">
        <f t="shared" si="21"/>
        <v>35.75723025583982</v>
      </c>
      <c r="M193" s="240">
        <f t="shared" si="21"/>
        <v>41.716768631813125</v>
      </c>
      <c r="N193" s="240">
        <f t="shared" si="21"/>
        <v>47.67630700778643</v>
      </c>
      <c r="O193" s="240">
        <f t="shared" si="21"/>
        <v>53.63584538375974</v>
      </c>
      <c r="P193" s="240">
        <f t="shared" si="21"/>
        <v>59.59538375973304</v>
      </c>
      <c r="Q193" s="240">
        <f t="shared" si="21"/>
        <v>65.55492213570633</v>
      </c>
      <c r="R193" s="240">
        <f t="shared" si="21"/>
        <v>71.51446051167964</v>
      </c>
      <c r="S193" s="240">
        <f t="shared" si="21"/>
        <v>77.47399888765293</v>
      </c>
      <c r="T193" s="240">
        <f t="shared" si="21"/>
        <v>83.43353726362625</v>
      </c>
      <c r="U193" s="240">
        <f t="shared" si="21"/>
        <v>89.39307563959954</v>
      </c>
      <c r="V193" s="240">
        <f t="shared" si="21"/>
        <v>95.35261401557285</v>
      </c>
      <c r="W193" s="241">
        <f t="shared" si="21"/>
        <v>101.31215239154616</v>
      </c>
    </row>
    <row r="194" spans="2:23" ht="12.75" hidden="1">
      <c r="B194" s="65"/>
      <c r="C194" s="174" t="s">
        <v>37</v>
      </c>
      <c r="D194" s="175">
        <v>23</v>
      </c>
      <c r="E194" s="175" t="s">
        <v>1</v>
      </c>
      <c r="F194" s="174">
        <v>29</v>
      </c>
      <c r="G194" s="268">
        <f t="shared" si="20"/>
        <v>1.2608695652173914</v>
      </c>
      <c r="H194" s="80"/>
      <c r="I194" s="69"/>
      <c r="J194" s="240">
        <f t="shared" si="21"/>
        <v>24.92170593588836</v>
      </c>
      <c r="K194" s="240">
        <f t="shared" si="21"/>
        <v>31.152132419860447</v>
      </c>
      <c r="L194" s="240">
        <f t="shared" si="21"/>
        <v>37.38255890383254</v>
      </c>
      <c r="M194" s="240">
        <f t="shared" si="21"/>
        <v>43.61298538780463</v>
      </c>
      <c r="N194" s="240">
        <f t="shared" si="21"/>
        <v>49.84341187177672</v>
      </c>
      <c r="O194" s="240">
        <f t="shared" si="21"/>
        <v>56.0738383557488</v>
      </c>
      <c r="P194" s="240">
        <f t="shared" si="21"/>
        <v>62.304264839720894</v>
      </c>
      <c r="Q194" s="240">
        <f t="shared" si="21"/>
        <v>68.53469132369298</v>
      </c>
      <c r="R194" s="240">
        <f t="shared" si="21"/>
        <v>74.76511780766508</v>
      </c>
      <c r="S194" s="240">
        <f t="shared" si="21"/>
        <v>80.99554429163716</v>
      </c>
      <c r="T194" s="240">
        <f t="shared" si="21"/>
        <v>87.22597077560926</v>
      </c>
      <c r="U194" s="240">
        <f t="shared" si="21"/>
        <v>93.45639725958137</v>
      </c>
      <c r="V194" s="240">
        <f t="shared" si="21"/>
        <v>99.68682374355345</v>
      </c>
      <c r="W194" s="241">
        <f t="shared" si="21"/>
        <v>105.91725022752551</v>
      </c>
    </row>
    <row r="195" spans="2:23" ht="12.75" hidden="1">
      <c r="B195" s="65"/>
      <c r="C195" s="174" t="s">
        <v>3</v>
      </c>
      <c r="D195" s="175">
        <v>23</v>
      </c>
      <c r="E195" s="175" t="s">
        <v>1</v>
      </c>
      <c r="F195" s="174">
        <v>28</v>
      </c>
      <c r="G195" s="268">
        <f t="shared" si="20"/>
        <v>1.2173913043478262</v>
      </c>
      <c r="H195" s="80"/>
      <c r="I195" s="69"/>
      <c r="J195" s="240">
        <f t="shared" si="21"/>
        <v>25.81176686217008</v>
      </c>
      <c r="K195" s="240">
        <f t="shared" si="21"/>
        <v>32.264708577712604</v>
      </c>
      <c r="L195" s="240">
        <f t="shared" si="21"/>
        <v>38.717650293255126</v>
      </c>
      <c r="M195" s="240">
        <f t="shared" si="21"/>
        <v>45.17059200879765</v>
      </c>
      <c r="N195" s="240">
        <f t="shared" si="21"/>
        <v>51.62353372434016</v>
      </c>
      <c r="O195" s="240">
        <f t="shared" si="21"/>
        <v>58.076475439882685</v>
      </c>
      <c r="P195" s="240">
        <f t="shared" si="21"/>
        <v>64.52941715542521</v>
      </c>
      <c r="Q195" s="240">
        <f t="shared" si="21"/>
        <v>70.98235887096773</v>
      </c>
      <c r="R195" s="240">
        <f t="shared" si="21"/>
        <v>77.43530058651025</v>
      </c>
      <c r="S195" s="240">
        <f t="shared" si="21"/>
        <v>83.88824230205277</v>
      </c>
      <c r="T195" s="240">
        <f t="shared" si="21"/>
        <v>90.3411840175953</v>
      </c>
      <c r="U195" s="240">
        <f t="shared" si="21"/>
        <v>96.79412573313782</v>
      </c>
      <c r="V195" s="240">
        <f t="shared" si="21"/>
        <v>103.24706744868033</v>
      </c>
      <c r="W195" s="241">
        <f t="shared" si="21"/>
        <v>109.70000916422286</v>
      </c>
    </row>
    <row r="196" spans="2:23" ht="12.75" hidden="1">
      <c r="B196" s="65"/>
      <c r="C196" s="174" t="s">
        <v>38</v>
      </c>
      <c r="D196" s="175">
        <v>23</v>
      </c>
      <c r="E196" s="175" t="s">
        <v>1</v>
      </c>
      <c r="F196" s="174">
        <v>27</v>
      </c>
      <c r="G196" s="268">
        <f t="shared" si="20"/>
        <v>1.173913043478261</v>
      </c>
      <c r="H196" s="80"/>
      <c r="I196" s="69"/>
      <c r="J196" s="240">
        <f t="shared" si="21"/>
        <v>26.767758227435642</v>
      </c>
      <c r="K196" s="240">
        <f t="shared" si="21"/>
        <v>33.459697784294555</v>
      </c>
      <c r="L196" s="240">
        <f t="shared" si="21"/>
        <v>40.15163734115346</v>
      </c>
      <c r="M196" s="240">
        <f t="shared" si="21"/>
        <v>46.84357689801237</v>
      </c>
      <c r="N196" s="240">
        <f t="shared" si="21"/>
        <v>53.535516454871285</v>
      </c>
      <c r="O196" s="240">
        <f t="shared" si="21"/>
        <v>60.2274560117302</v>
      </c>
      <c r="P196" s="240">
        <f t="shared" si="21"/>
        <v>66.91939556858911</v>
      </c>
      <c r="Q196" s="240">
        <f t="shared" si="21"/>
        <v>73.61133512544801</v>
      </c>
      <c r="R196" s="240">
        <f t="shared" si="21"/>
        <v>80.30327468230692</v>
      </c>
      <c r="S196" s="240">
        <f t="shared" si="21"/>
        <v>86.99521423916585</v>
      </c>
      <c r="T196" s="240">
        <f t="shared" si="21"/>
        <v>93.68715379602475</v>
      </c>
      <c r="U196" s="240">
        <f t="shared" si="21"/>
        <v>100.37909335288366</v>
      </c>
      <c r="V196" s="240">
        <f t="shared" si="21"/>
        <v>107.07103290974257</v>
      </c>
      <c r="W196" s="241">
        <f t="shared" si="21"/>
        <v>113.76297246660148</v>
      </c>
    </row>
    <row r="197" spans="2:23" ht="12.75" hidden="1">
      <c r="B197" s="65"/>
      <c r="C197" s="174" t="s">
        <v>23</v>
      </c>
      <c r="D197" s="175">
        <v>24</v>
      </c>
      <c r="E197" s="175" t="s">
        <v>1</v>
      </c>
      <c r="F197" s="174">
        <v>27</v>
      </c>
      <c r="G197" s="268">
        <f t="shared" si="20"/>
        <v>1.125</v>
      </c>
      <c r="H197" s="80"/>
      <c r="I197" s="69"/>
      <c r="J197" s="240">
        <f t="shared" si="21"/>
        <v>27.93157380254154</v>
      </c>
      <c r="K197" s="240">
        <f t="shared" si="21"/>
        <v>34.91446725317693</v>
      </c>
      <c r="L197" s="240">
        <f t="shared" si="21"/>
        <v>41.89736070381231</v>
      </c>
      <c r="M197" s="240">
        <f t="shared" si="21"/>
        <v>48.8802541544477</v>
      </c>
      <c r="N197" s="240">
        <f t="shared" si="21"/>
        <v>55.86314760508308</v>
      </c>
      <c r="O197" s="240">
        <f t="shared" si="21"/>
        <v>62.846041055718466</v>
      </c>
      <c r="P197" s="240">
        <f t="shared" si="21"/>
        <v>69.82893450635386</v>
      </c>
      <c r="Q197" s="240">
        <f t="shared" si="21"/>
        <v>76.81182795698926</v>
      </c>
      <c r="R197" s="240">
        <f t="shared" si="21"/>
        <v>83.79472140762462</v>
      </c>
      <c r="S197" s="240">
        <f t="shared" si="21"/>
        <v>90.77761485826001</v>
      </c>
      <c r="T197" s="240">
        <f t="shared" si="21"/>
        <v>97.7605083088954</v>
      </c>
      <c r="U197" s="240">
        <f t="shared" si="21"/>
        <v>104.7434017595308</v>
      </c>
      <c r="V197" s="240">
        <f t="shared" si="21"/>
        <v>111.72629521016616</v>
      </c>
      <c r="W197" s="241">
        <f t="shared" si="21"/>
        <v>118.70918866080154</v>
      </c>
    </row>
    <row r="198" spans="2:23" ht="12.75" hidden="1">
      <c r="B198" s="65"/>
      <c r="C198" s="174" t="s">
        <v>39</v>
      </c>
      <c r="D198" s="175">
        <v>25</v>
      </c>
      <c r="E198" s="175" t="s">
        <v>1</v>
      </c>
      <c r="F198" s="174">
        <v>27</v>
      </c>
      <c r="G198" s="268">
        <f t="shared" si="20"/>
        <v>1.08</v>
      </c>
      <c r="H198" s="80"/>
      <c r="I198" s="69"/>
      <c r="J198" s="240">
        <f t="shared" si="21"/>
        <v>29.095389377647436</v>
      </c>
      <c r="K198" s="240">
        <f t="shared" si="21"/>
        <v>36.3692367220593</v>
      </c>
      <c r="L198" s="240">
        <f t="shared" si="21"/>
        <v>43.643084066471154</v>
      </c>
      <c r="M198" s="240">
        <f t="shared" si="21"/>
        <v>50.916931410883016</v>
      </c>
      <c r="N198" s="240">
        <f t="shared" si="21"/>
        <v>58.19077875529487</v>
      </c>
      <c r="O198" s="240">
        <f t="shared" si="21"/>
        <v>65.46462609970673</v>
      </c>
      <c r="P198" s="240">
        <f t="shared" si="21"/>
        <v>72.7384734441186</v>
      </c>
      <c r="Q198" s="240">
        <f t="shared" si="21"/>
        <v>80.01232078853046</v>
      </c>
      <c r="R198" s="240">
        <f t="shared" si="21"/>
        <v>87.28616813294231</v>
      </c>
      <c r="S198" s="240">
        <f t="shared" si="21"/>
        <v>94.5600154773542</v>
      </c>
      <c r="T198" s="240">
        <f t="shared" si="21"/>
        <v>101.83386282176603</v>
      </c>
      <c r="U198" s="240">
        <f t="shared" si="21"/>
        <v>109.1077101661779</v>
      </c>
      <c r="V198" s="240">
        <f t="shared" si="21"/>
        <v>116.38155751058974</v>
      </c>
      <c r="W198" s="241">
        <f t="shared" si="21"/>
        <v>123.65540485500159</v>
      </c>
    </row>
    <row r="199" spans="2:23" ht="12.75" hidden="1">
      <c r="B199" s="65"/>
      <c r="C199" s="174" t="s">
        <v>42</v>
      </c>
      <c r="D199" s="175">
        <v>25</v>
      </c>
      <c r="E199" s="175" t="s">
        <v>1</v>
      </c>
      <c r="F199" s="174">
        <v>26</v>
      </c>
      <c r="G199" s="268">
        <f aca="true" t="shared" si="22" ref="G199:G215">F199/D199</f>
        <v>1.04</v>
      </c>
      <c r="H199" s="80"/>
      <c r="I199" s="69"/>
      <c r="J199" s="240">
        <f t="shared" si="21"/>
        <v>30.21444281524926</v>
      </c>
      <c r="K199" s="240">
        <f t="shared" si="21"/>
        <v>37.76805351906158</v>
      </c>
      <c r="L199" s="240">
        <f t="shared" si="21"/>
        <v>45.32166422287389</v>
      </c>
      <c r="M199" s="240">
        <f t="shared" si="21"/>
        <v>52.87527492668621</v>
      </c>
      <c r="N199" s="240">
        <f t="shared" si="21"/>
        <v>60.42888563049852</v>
      </c>
      <c r="O199" s="240">
        <f t="shared" si="21"/>
        <v>67.98249633431085</v>
      </c>
      <c r="P199" s="240">
        <f t="shared" si="21"/>
        <v>75.53610703812316</v>
      </c>
      <c r="Q199" s="240">
        <f t="shared" si="21"/>
        <v>83.08971774193547</v>
      </c>
      <c r="R199" s="240">
        <f t="shared" si="21"/>
        <v>90.64332844574778</v>
      </c>
      <c r="S199" s="240">
        <f t="shared" si="21"/>
        <v>98.19693914956012</v>
      </c>
      <c r="T199" s="240">
        <f t="shared" si="21"/>
        <v>105.75054985337242</v>
      </c>
      <c r="U199" s="240">
        <f t="shared" si="21"/>
        <v>113.30416055718473</v>
      </c>
      <c r="V199" s="240">
        <f t="shared" si="21"/>
        <v>120.85777126099704</v>
      </c>
      <c r="W199" s="241">
        <f t="shared" si="21"/>
        <v>128.41138196480938</v>
      </c>
    </row>
    <row r="200" spans="2:23" ht="12.75" hidden="1">
      <c r="B200" s="65"/>
      <c r="C200" s="174" t="s">
        <v>43</v>
      </c>
      <c r="D200" s="175">
        <v>26</v>
      </c>
      <c r="E200" s="175" t="s">
        <v>1</v>
      </c>
      <c r="F200" s="174">
        <v>26</v>
      </c>
      <c r="G200" s="268">
        <f t="shared" si="22"/>
        <v>1</v>
      </c>
      <c r="H200" s="80"/>
      <c r="I200" s="69"/>
      <c r="J200" s="240">
        <f t="shared" si="21"/>
        <v>31.423020527859233</v>
      </c>
      <c r="K200" s="240">
        <f t="shared" si="21"/>
        <v>39.27877565982405</v>
      </c>
      <c r="L200" s="240">
        <f t="shared" si="21"/>
        <v>47.13453079178885</v>
      </c>
      <c r="M200" s="240">
        <f t="shared" si="21"/>
        <v>54.99028592375366</v>
      </c>
      <c r="N200" s="240">
        <f t="shared" si="21"/>
        <v>62.846041055718466</v>
      </c>
      <c r="O200" s="240">
        <f t="shared" si="21"/>
        <v>70.70179618768329</v>
      </c>
      <c r="P200" s="240">
        <f t="shared" si="21"/>
        <v>78.5575513196481</v>
      </c>
      <c r="Q200" s="240">
        <f t="shared" si="21"/>
        <v>86.4133064516129</v>
      </c>
      <c r="R200" s="240">
        <f t="shared" si="21"/>
        <v>94.2690615835777</v>
      </c>
      <c r="S200" s="240">
        <f t="shared" si="21"/>
        <v>102.12481671554252</v>
      </c>
      <c r="T200" s="240">
        <f t="shared" si="21"/>
        <v>109.98057184750732</v>
      </c>
      <c r="U200" s="240">
        <f t="shared" si="21"/>
        <v>117.83632697947215</v>
      </c>
      <c r="V200" s="240">
        <f t="shared" si="21"/>
        <v>125.69208211143693</v>
      </c>
      <c r="W200" s="241">
        <f t="shared" si="21"/>
        <v>133.54783724340174</v>
      </c>
    </row>
    <row r="201" spans="2:23" ht="12.75" hidden="1">
      <c r="B201" s="65"/>
      <c r="C201" s="174" t="s">
        <v>44</v>
      </c>
      <c r="D201" s="175">
        <v>26</v>
      </c>
      <c r="E201" s="175" t="s">
        <v>1</v>
      </c>
      <c r="F201" s="174">
        <v>25</v>
      </c>
      <c r="G201" s="268">
        <f t="shared" si="22"/>
        <v>0.9615384615384616</v>
      </c>
      <c r="H201" s="80"/>
      <c r="I201" s="69"/>
      <c r="J201" s="240">
        <f t="shared" si="21"/>
        <v>32.6799413489736</v>
      </c>
      <c r="K201" s="240">
        <f t="shared" si="21"/>
        <v>40.849926686216996</v>
      </c>
      <c r="L201" s="240">
        <f t="shared" si="21"/>
        <v>49.019912023460414</v>
      </c>
      <c r="M201" s="240">
        <f t="shared" si="21"/>
        <v>57.18989736070381</v>
      </c>
      <c r="N201" s="240">
        <f t="shared" si="21"/>
        <v>65.3598826979472</v>
      </c>
      <c r="O201" s="240">
        <f t="shared" si="21"/>
        <v>73.52986803519062</v>
      </c>
      <c r="P201" s="240">
        <f t="shared" si="21"/>
        <v>81.69985337243399</v>
      </c>
      <c r="Q201" s="240">
        <f t="shared" si="21"/>
        <v>89.8698387096774</v>
      </c>
      <c r="R201" s="240">
        <f t="shared" si="21"/>
        <v>98.03982404692083</v>
      </c>
      <c r="S201" s="240">
        <f t="shared" si="21"/>
        <v>106.2098093841642</v>
      </c>
      <c r="T201" s="240">
        <f t="shared" si="21"/>
        <v>114.37979472140762</v>
      </c>
      <c r="U201" s="240">
        <f t="shared" si="21"/>
        <v>122.54978005865102</v>
      </c>
      <c r="V201" s="240">
        <f t="shared" si="21"/>
        <v>130.7197653958944</v>
      </c>
      <c r="W201" s="241">
        <f t="shared" si="21"/>
        <v>138.88975073313782</v>
      </c>
    </row>
    <row r="202" spans="2:23" ht="12.75" hidden="1">
      <c r="B202" s="65"/>
      <c r="C202" s="174" t="s">
        <v>4</v>
      </c>
      <c r="D202" s="175">
        <v>27</v>
      </c>
      <c r="E202" s="175" t="s">
        <v>1</v>
      </c>
      <c r="F202" s="174">
        <v>25</v>
      </c>
      <c r="G202" s="268">
        <f t="shared" si="22"/>
        <v>0.9259259259259259</v>
      </c>
      <c r="H202" s="80"/>
      <c r="I202" s="250" t="s">
        <v>112</v>
      </c>
      <c r="J202" s="244">
        <f aca="true" t="shared" si="23" ref="J202:W209">(((J$151/$G202/$G$89)*60)*$G$92)/$J$92</f>
        <v>33.93686217008798</v>
      </c>
      <c r="K202" s="244">
        <f t="shared" si="23"/>
        <v>42.421077712609964</v>
      </c>
      <c r="L202" s="244">
        <f t="shared" si="23"/>
        <v>50.90529325513196</v>
      </c>
      <c r="M202" s="244">
        <f t="shared" si="23"/>
        <v>59.38950879765395</v>
      </c>
      <c r="N202" s="244">
        <f t="shared" si="23"/>
        <v>67.87372434017595</v>
      </c>
      <c r="O202" s="244">
        <f t="shared" si="23"/>
        <v>76.35793988269793</v>
      </c>
      <c r="P202" s="244">
        <f t="shared" si="23"/>
        <v>84.84215542521993</v>
      </c>
      <c r="Q202" s="244">
        <f t="shared" si="23"/>
        <v>93.32637096774194</v>
      </c>
      <c r="R202" s="244">
        <f t="shared" si="23"/>
        <v>101.81058651026392</v>
      </c>
      <c r="S202" s="244">
        <f t="shared" si="23"/>
        <v>110.29480205278591</v>
      </c>
      <c r="T202" s="244">
        <f t="shared" si="23"/>
        <v>118.7790175953079</v>
      </c>
      <c r="U202" s="244">
        <f t="shared" si="23"/>
        <v>127.2632331378299</v>
      </c>
      <c r="V202" s="244">
        <f t="shared" si="23"/>
        <v>135.7474486803519</v>
      </c>
      <c r="W202" s="245">
        <f t="shared" si="23"/>
        <v>144.23166422287392</v>
      </c>
    </row>
    <row r="203" spans="2:23" ht="12.75" hidden="1">
      <c r="B203" s="65"/>
      <c r="C203" s="174" t="s">
        <v>45</v>
      </c>
      <c r="D203" s="175">
        <v>27</v>
      </c>
      <c r="E203" s="175" t="s">
        <v>1</v>
      </c>
      <c r="F203" s="174">
        <v>24</v>
      </c>
      <c r="G203" s="268">
        <f t="shared" si="22"/>
        <v>0.8888888888888888</v>
      </c>
      <c r="H203" s="80"/>
      <c r="I203" s="69"/>
      <c r="J203" s="240">
        <f t="shared" si="23"/>
        <v>35.35089809384164</v>
      </c>
      <c r="K203" s="240">
        <f t="shared" si="23"/>
        <v>44.18862261730205</v>
      </c>
      <c r="L203" s="240">
        <f t="shared" si="23"/>
        <v>53.026347140762454</v>
      </c>
      <c r="M203" s="240">
        <f t="shared" si="23"/>
        <v>61.86407166422286</v>
      </c>
      <c r="N203" s="240">
        <f t="shared" si="23"/>
        <v>70.70179618768329</v>
      </c>
      <c r="O203" s="240">
        <f t="shared" si="23"/>
        <v>79.53952071114368</v>
      </c>
      <c r="P203" s="240">
        <f t="shared" si="23"/>
        <v>88.3772452346041</v>
      </c>
      <c r="Q203" s="240">
        <f t="shared" si="23"/>
        <v>97.21496975806451</v>
      </c>
      <c r="R203" s="240">
        <f t="shared" si="23"/>
        <v>106.05269428152491</v>
      </c>
      <c r="S203" s="240">
        <f t="shared" si="23"/>
        <v>114.89041880498533</v>
      </c>
      <c r="T203" s="240">
        <f t="shared" si="23"/>
        <v>123.72814332844573</v>
      </c>
      <c r="U203" s="240">
        <f t="shared" si="23"/>
        <v>132.56586785190615</v>
      </c>
      <c r="V203" s="240">
        <f t="shared" si="23"/>
        <v>141.40359237536657</v>
      </c>
      <c r="W203" s="241">
        <f t="shared" si="23"/>
        <v>150.24131689882697</v>
      </c>
    </row>
    <row r="204" spans="2:23" ht="12.75" hidden="1">
      <c r="B204" s="65"/>
      <c r="C204" s="174" t="s">
        <v>46</v>
      </c>
      <c r="D204" s="175">
        <v>28</v>
      </c>
      <c r="E204" s="175" t="s">
        <v>1</v>
      </c>
      <c r="F204" s="174">
        <v>24</v>
      </c>
      <c r="G204" s="268">
        <f t="shared" si="22"/>
        <v>0.8571428571428571</v>
      </c>
      <c r="H204" s="80"/>
      <c r="I204" s="69"/>
      <c r="J204" s="240">
        <f t="shared" si="23"/>
        <v>36.66019061583577</v>
      </c>
      <c r="K204" s="240">
        <f t="shared" si="23"/>
        <v>45.825238269794724</v>
      </c>
      <c r="L204" s="240">
        <f t="shared" si="23"/>
        <v>54.99028592375366</v>
      </c>
      <c r="M204" s="240">
        <f t="shared" si="23"/>
        <v>64.1553335777126</v>
      </c>
      <c r="N204" s="240">
        <f t="shared" si="23"/>
        <v>73.32038123167155</v>
      </c>
      <c r="O204" s="240">
        <f t="shared" si="23"/>
        <v>82.4854288856305</v>
      </c>
      <c r="P204" s="240">
        <f t="shared" si="23"/>
        <v>91.65047653958945</v>
      </c>
      <c r="Q204" s="240">
        <f t="shared" si="23"/>
        <v>100.8155241935484</v>
      </c>
      <c r="R204" s="240">
        <f t="shared" si="23"/>
        <v>109.98057184750732</v>
      </c>
      <c r="S204" s="240">
        <f t="shared" si="23"/>
        <v>119.14561950146627</v>
      </c>
      <c r="T204" s="240">
        <f t="shared" si="23"/>
        <v>128.3106671554252</v>
      </c>
      <c r="U204" s="240">
        <f t="shared" si="23"/>
        <v>137.4757148093842</v>
      </c>
      <c r="V204" s="240">
        <f t="shared" si="23"/>
        <v>146.6407624633431</v>
      </c>
      <c r="W204" s="241">
        <f t="shared" si="23"/>
        <v>155.80581011730206</v>
      </c>
    </row>
    <row r="205" spans="2:23" ht="12.75" hidden="1">
      <c r="B205" s="65"/>
      <c r="C205" s="271" t="s">
        <v>115</v>
      </c>
      <c r="D205" s="169">
        <v>27</v>
      </c>
      <c r="E205" s="169" t="s">
        <v>1</v>
      </c>
      <c r="F205" s="168">
        <v>23</v>
      </c>
      <c r="G205" s="265">
        <f t="shared" si="22"/>
        <v>0.8518518518518519</v>
      </c>
      <c r="H205" s="275" t="s">
        <v>118</v>
      </c>
      <c r="I205" s="69"/>
      <c r="J205" s="240">
        <f t="shared" si="23"/>
        <v>36.8878936631391</v>
      </c>
      <c r="K205" s="240">
        <f t="shared" si="23"/>
        <v>46.10986707892388</v>
      </c>
      <c r="L205" s="240">
        <f t="shared" si="23"/>
        <v>55.33184049470864</v>
      </c>
      <c r="M205" s="240">
        <f t="shared" si="23"/>
        <v>64.55381391049343</v>
      </c>
      <c r="N205" s="240">
        <f t="shared" si="23"/>
        <v>73.7757873262782</v>
      </c>
      <c r="O205" s="240">
        <f t="shared" si="23"/>
        <v>82.99776074206298</v>
      </c>
      <c r="P205" s="240">
        <f t="shared" si="23"/>
        <v>92.21973415784775</v>
      </c>
      <c r="Q205" s="240">
        <f t="shared" si="23"/>
        <v>101.44170757363253</v>
      </c>
      <c r="R205" s="240">
        <f t="shared" si="23"/>
        <v>110.66368098941729</v>
      </c>
      <c r="S205" s="240">
        <f t="shared" si="23"/>
        <v>119.88565440520209</v>
      </c>
      <c r="T205" s="240">
        <f t="shared" si="23"/>
        <v>129.10762782098686</v>
      </c>
      <c r="U205" s="240">
        <f t="shared" si="23"/>
        <v>138.32960123677162</v>
      </c>
      <c r="V205" s="240">
        <f t="shared" si="23"/>
        <v>147.5515746525564</v>
      </c>
      <c r="W205" s="241">
        <f t="shared" si="23"/>
        <v>156.7735480683412</v>
      </c>
    </row>
    <row r="206" spans="2:23" ht="12.75" hidden="1">
      <c r="B206" s="65"/>
      <c r="C206" s="174" t="s">
        <v>47</v>
      </c>
      <c r="D206" s="175">
        <v>28</v>
      </c>
      <c r="E206" s="175" t="s">
        <v>1</v>
      </c>
      <c r="F206" s="174">
        <v>23</v>
      </c>
      <c r="G206" s="268">
        <f t="shared" si="22"/>
        <v>0.8214285714285714</v>
      </c>
      <c r="H206" s="80"/>
      <c r="I206" s="69"/>
      <c r="J206" s="240">
        <f t="shared" si="23"/>
        <v>38.25411194695907</v>
      </c>
      <c r="K206" s="240">
        <f t="shared" si="23"/>
        <v>47.817639933698835</v>
      </c>
      <c r="L206" s="240">
        <f t="shared" si="23"/>
        <v>57.38116792043861</v>
      </c>
      <c r="M206" s="240">
        <f t="shared" si="23"/>
        <v>66.94469590717837</v>
      </c>
      <c r="N206" s="240">
        <f t="shared" si="23"/>
        <v>76.50822389391814</v>
      </c>
      <c r="O206" s="240">
        <f t="shared" si="23"/>
        <v>86.07175188065791</v>
      </c>
      <c r="P206" s="240">
        <f t="shared" si="23"/>
        <v>95.63527986739767</v>
      </c>
      <c r="Q206" s="240">
        <f t="shared" si="23"/>
        <v>105.19880785413744</v>
      </c>
      <c r="R206" s="240">
        <f t="shared" si="23"/>
        <v>114.76233584087721</v>
      </c>
      <c r="S206" s="240">
        <f t="shared" si="23"/>
        <v>124.32586382761698</v>
      </c>
      <c r="T206" s="240">
        <f t="shared" si="23"/>
        <v>133.88939181435674</v>
      </c>
      <c r="U206" s="240">
        <f t="shared" si="23"/>
        <v>143.4529198010965</v>
      </c>
      <c r="V206" s="240">
        <f t="shared" si="23"/>
        <v>153.01644778783628</v>
      </c>
      <c r="W206" s="241">
        <f t="shared" si="23"/>
        <v>162.579975774576</v>
      </c>
    </row>
    <row r="207" spans="2:23" ht="12.75" hidden="1">
      <c r="B207" s="65"/>
      <c r="C207" s="174" t="s">
        <v>48</v>
      </c>
      <c r="D207" s="175">
        <v>29</v>
      </c>
      <c r="E207" s="175" t="s">
        <v>1</v>
      </c>
      <c r="F207" s="174">
        <v>23</v>
      </c>
      <c r="G207" s="268">
        <f t="shared" si="22"/>
        <v>0.7931034482758621</v>
      </c>
      <c r="H207" s="72"/>
      <c r="I207" s="69"/>
      <c r="J207" s="240">
        <f t="shared" si="23"/>
        <v>39.62033023077903</v>
      </c>
      <c r="K207" s="240">
        <f t="shared" si="23"/>
        <v>49.52541278847379</v>
      </c>
      <c r="L207" s="240">
        <f t="shared" si="23"/>
        <v>59.430495346168556</v>
      </c>
      <c r="M207" s="240">
        <f t="shared" si="23"/>
        <v>69.3355779038633</v>
      </c>
      <c r="N207" s="240">
        <f t="shared" si="23"/>
        <v>79.24066046155806</v>
      </c>
      <c r="O207" s="240">
        <f t="shared" si="23"/>
        <v>89.14574301925282</v>
      </c>
      <c r="P207" s="240">
        <f t="shared" si="23"/>
        <v>99.05082557694757</v>
      </c>
      <c r="Q207" s="240">
        <f t="shared" si="23"/>
        <v>108.95590813464234</v>
      </c>
      <c r="R207" s="240">
        <f t="shared" si="23"/>
        <v>118.86099069233711</v>
      </c>
      <c r="S207" s="240">
        <f t="shared" si="23"/>
        <v>128.76607325003187</v>
      </c>
      <c r="T207" s="240">
        <f t="shared" si="23"/>
        <v>138.6711558077266</v>
      </c>
      <c r="U207" s="240">
        <f t="shared" si="23"/>
        <v>148.57623836542135</v>
      </c>
      <c r="V207" s="240">
        <f t="shared" si="23"/>
        <v>158.48132092311613</v>
      </c>
      <c r="W207" s="241">
        <f t="shared" si="23"/>
        <v>168.38640348081088</v>
      </c>
    </row>
    <row r="208" spans="2:23" ht="12.75" hidden="1">
      <c r="B208" s="65"/>
      <c r="C208" s="174" t="s">
        <v>5</v>
      </c>
      <c r="D208" s="175">
        <v>29</v>
      </c>
      <c r="E208" s="175" t="s">
        <v>1</v>
      </c>
      <c r="F208" s="174">
        <v>22</v>
      </c>
      <c r="G208" s="268">
        <f t="shared" si="22"/>
        <v>0.7586206896551724</v>
      </c>
      <c r="H208" s="80"/>
      <c r="I208" s="69"/>
      <c r="J208" s="240">
        <f t="shared" si="23"/>
        <v>41.42125433217807</v>
      </c>
      <c r="K208" s="240">
        <f t="shared" si="23"/>
        <v>51.77656791522261</v>
      </c>
      <c r="L208" s="240">
        <f t="shared" si="23"/>
        <v>62.131881498267134</v>
      </c>
      <c r="M208" s="240">
        <f t="shared" si="23"/>
        <v>72.48719508131164</v>
      </c>
      <c r="N208" s="240">
        <f t="shared" si="23"/>
        <v>82.84250866435615</v>
      </c>
      <c r="O208" s="240">
        <f t="shared" si="23"/>
        <v>93.19782224740071</v>
      </c>
      <c r="P208" s="240">
        <f t="shared" si="23"/>
        <v>103.55313583044521</v>
      </c>
      <c r="Q208" s="240">
        <f t="shared" si="23"/>
        <v>113.90844941348973</v>
      </c>
      <c r="R208" s="240">
        <f t="shared" si="23"/>
        <v>124.26376299653427</v>
      </c>
      <c r="S208" s="240">
        <f t="shared" si="23"/>
        <v>134.61907657957877</v>
      </c>
      <c r="T208" s="240">
        <f t="shared" si="23"/>
        <v>144.97439016262328</v>
      </c>
      <c r="U208" s="240">
        <f t="shared" si="23"/>
        <v>155.32970374566779</v>
      </c>
      <c r="V208" s="240">
        <f t="shared" si="23"/>
        <v>165.6850173287123</v>
      </c>
      <c r="W208" s="241">
        <f t="shared" si="23"/>
        <v>176.04033091175685</v>
      </c>
    </row>
    <row r="209" spans="2:23" ht="12.75" hidden="1">
      <c r="B209" s="65"/>
      <c r="C209" s="274" t="s">
        <v>116</v>
      </c>
      <c r="D209" s="171">
        <v>30</v>
      </c>
      <c r="E209" s="171" t="s">
        <v>1</v>
      </c>
      <c r="F209" s="170">
        <v>22</v>
      </c>
      <c r="G209" s="266">
        <f t="shared" si="22"/>
        <v>0.7333333333333333</v>
      </c>
      <c r="H209" s="275" t="s">
        <v>118</v>
      </c>
      <c r="I209" s="69"/>
      <c r="J209" s="240">
        <f t="shared" si="23"/>
        <v>42.84957344708078</v>
      </c>
      <c r="K209" s="240">
        <f t="shared" si="23"/>
        <v>53.561966808850975</v>
      </c>
      <c r="L209" s="240">
        <f t="shared" si="23"/>
        <v>64.27436017062116</v>
      </c>
      <c r="M209" s="240">
        <f t="shared" si="23"/>
        <v>74.98675353239136</v>
      </c>
      <c r="N209" s="240">
        <f t="shared" si="23"/>
        <v>85.69914689416156</v>
      </c>
      <c r="O209" s="240">
        <f t="shared" si="23"/>
        <v>96.41154025593177</v>
      </c>
      <c r="P209" s="240">
        <f t="shared" si="23"/>
        <v>107.12393361770195</v>
      </c>
      <c r="Q209" s="240">
        <f t="shared" si="23"/>
        <v>117.83632697947216</v>
      </c>
      <c r="R209" s="240">
        <f t="shared" si="23"/>
        <v>128.54872034124233</v>
      </c>
      <c r="S209" s="240">
        <f t="shared" si="23"/>
        <v>139.26111370301254</v>
      </c>
      <c r="T209" s="240">
        <f t="shared" si="23"/>
        <v>149.97350706478272</v>
      </c>
      <c r="U209" s="240">
        <f t="shared" si="23"/>
        <v>160.68590042655293</v>
      </c>
      <c r="V209" s="240">
        <f t="shared" si="23"/>
        <v>171.39829378832312</v>
      </c>
      <c r="W209" s="241">
        <f t="shared" si="23"/>
        <v>182.11068715009333</v>
      </c>
    </row>
    <row r="210" spans="2:23" ht="12.75" hidden="1">
      <c r="B210" s="65"/>
      <c r="C210" s="174" t="s">
        <v>49</v>
      </c>
      <c r="D210" s="175">
        <v>31</v>
      </c>
      <c r="E210" s="175" t="s">
        <v>1</v>
      </c>
      <c r="F210" s="174">
        <v>22</v>
      </c>
      <c r="G210" s="268">
        <f t="shared" si="22"/>
        <v>0.7096774193548387</v>
      </c>
      <c r="H210" s="80"/>
      <c r="I210" s="338" t="s">
        <v>113</v>
      </c>
      <c r="J210" s="348" t="e">
        <f aca="true" t="shared" si="24" ref="J210:W215">(((J$9/$G210/$L$4)*60)*$L$5)/$L$6</f>
        <v>#DIV/0!</v>
      </c>
      <c r="K210" s="244" t="e">
        <f t="shared" si="24"/>
        <v>#DIV/0!</v>
      </c>
      <c r="L210" s="244" t="e">
        <f t="shared" si="24"/>
        <v>#DIV/0!</v>
      </c>
      <c r="M210" s="244" t="e">
        <f t="shared" si="24"/>
        <v>#DIV/0!</v>
      </c>
      <c r="N210" s="244" t="e">
        <f t="shared" si="24"/>
        <v>#DIV/0!</v>
      </c>
      <c r="O210" s="244" t="e">
        <f t="shared" si="24"/>
        <v>#DIV/0!</v>
      </c>
      <c r="P210" s="244" t="e">
        <f t="shared" si="24"/>
        <v>#DIV/0!</v>
      </c>
      <c r="Q210" s="244" t="e">
        <f t="shared" si="24"/>
        <v>#DIV/0!</v>
      </c>
      <c r="R210" s="244" t="e">
        <f t="shared" si="24"/>
        <v>#DIV/0!</v>
      </c>
      <c r="S210" s="244" t="e">
        <f t="shared" si="24"/>
        <v>#DIV/0!</v>
      </c>
      <c r="T210" s="244" t="e">
        <f t="shared" si="24"/>
        <v>#DIV/0!</v>
      </c>
      <c r="U210" s="244" t="e">
        <f t="shared" si="24"/>
        <v>#DIV/0!</v>
      </c>
      <c r="V210" s="244" t="e">
        <f t="shared" si="24"/>
        <v>#DIV/0!</v>
      </c>
      <c r="W210" s="245" t="e">
        <f t="shared" si="24"/>
        <v>#DIV/0!</v>
      </c>
    </row>
    <row r="211" spans="2:23" ht="12.75" hidden="1">
      <c r="B211" s="65"/>
      <c r="C211" s="339" t="s">
        <v>178</v>
      </c>
      <c r="D211" s="340">
        <v>30</v>
      </c>
      <c r="E211" s="340" t="s">
        <v>1</v>
      </c>
      <c r="F211" s="339">
        <v>21</v>
      </c>
      <c r="G211" s="341">
        <f t="shared" si="22"/>
        <v>0.7</v>
      </c>
      <c r="H211" s="304" t="s">
        <v>118</v>
      </c>
      <c r="I211" s="68"/>
      <c r="J211" s="349" t="e">
        <f t="shared" si="24"/>
        <v>#DIV/0!</v>
      </c>
      <c r="K211" s="303" t="e">
        <f t="shared" si="24"/>
        <v>#DIV/0!</v>
      </c>
      <c r="L211" s="303" t="e">
        <f t="shared" si="24"/>
        <v>#DIV/0!</v>
      </c>
      <c r="M211" s="303" t="e">
        <f t="shared" si="24"/>
        <v>#DIV/0!</v>
      </c>
      <c r="N211" s="303" t="e">
        <f t="shared" si="24"/>
        <v>#DIV/0!</v>
      </c>
      <c r="O211" s="303" t="e">
        <f t="shared" si="24"/>
        <v>#DIV/0!</v>
      </c>
      <c r="P211" s="303" t="e">
        <f t="shared" si="24"/>
        <v>#DIV/0!</v>
      </c>
      <c r="Q211" s="303" t="e">
        <f t="shared" si="24"/>
        <v>#DIV/0!</v>
      </c>
      <c r="R211" s="303" t="e">
        <f t="shared" si="24"/>
        <v>#DIV/0!</v>
      </c>
      <c r="S211" s="303" t="e">
        <f t="shared" si="24"/>
        <v>#DIV/0!</v>
      </c>
      <c r="T211" s="303" t="e">
        <f t="shared" si="24"/>
        <v>#DIV/0!</v>
      </c>
      <c r="U211" s="303" t="e">
        <f t="shared" si="24"/>
        <v>#DIV/0!</v>
      </c>
      <c r="V211" s="303" t="e">
        <f t="shared" si="24"/>
        <v>#DIV/0!</v>
      </c>
      <c r="W211" s="311" t="e">
        <f t="shared" si="24"/>
        <v>#DIV/0!</v>
      </c>
    </row>
    <row r="212" spans="2:23" ht="12.75" hidden="1">
      <c r="B212" s="65"/>
      <c r="C212" s="339" t="s">
        <v>181</v>
      </c>
      <c r="D212" s="340">
        <v>31</v>
      </c>
      <c r="E212" s="340" t="s">
        <v>1</v>
      </c>
      <c r="F212" s="339">
        <v>21</v>
      </c>
      <c r="G212" s="341">
        <f t="shared" si="22"/>
        <v>0.6774193548387096</v>
      </c>
      <c r="H212" s="304" t="s">
        <v>118</v>
      </c>
      <c r="I212" s="68"/>
      <c r="J212" s="349" t="e">
        <f t="shared" si="24"/>
        <v>#DIV/0!</v>
      </c>
      <c r="K212" s="303" t="e">
        <f t="shared" si="24"/>
        <v>#DIV/0!</v>
      </c>
      <c r="L212" s="303" t="e">
        <f t="shared" si="24"/>
        <v>#DIV/0!</v>
      </c>
      <c r="M212" s="303" t="e">
        <f t="shared" si="24"/>
        <v>#DIV/0!</v>
      </c>
      <c r="N212" s="303" t="e">
        <f t="shared" si="24"/>
        <v>#DIV/0!</v>
      </c>
      <c r="O212" s="303" t="e">
        <f t="shared" si="24"/>
        <v>#DIV/0!</v>
      </c>
      <c r="P212" s="303" t="e">
        <f t="shared" si="24"/>
        <v>#DIV/0!</v>
      </c>
      <c r="Q212" s="303" t="e">
        <f t="shared" si="24"/>
        <v>#DIV/0!</v>
      </c>
      <c r="R212" s="303" t="e">
        <f t="shared" si="24"/>
        <v>#DIV/0!</v>
      </c>
      <c r="S212" s="303" t="e">
        <f t="shared" si="24"/>
        <v>#DIV/0!</v>
      </c>
      <c r="T212" s="303" t="e">
        <f t="shared" si="24"/>
        <v>#DIV/0!</v>
      </c>
      <c r="U212" s="303" t="e">
        <f t="shared" si="24"/>
        <v>#DIV/0!</v>
      </c>
      <c r="V212" s="303" t="e">
        <f t="shared" si="24"/>
        <v>#DIV/0!</v>
      </c>
      <c r="W212" s="311" t="e">
        <f t="shared" si="24"/>
        <v>#DIV/0!</v>
      </c>
    </row>
    <row r="213" spans="2:23" ht="12.75" hidden="1">
      <c r="B213" s="65"/>
      <c r="C213" s="339" t="s">
        <v>182</v>
      </c>
      <c r="D213" s="340">
        <v>31</v>
      </c>
      <c r="E213" s="340" t="s">
        <v>1</v>
      </c>
      <c r="F213" s="339">
        <v>20</v>
      </c>
      <c r="G213" s="341">
        <f t="shared" si="22"/>
        <v>0.6451612903225806</v>
      </c>
      <c r="H213" s="304" t="s">
        <v>118</v>
      </c>
      <c r="I213" s="68"/>
      <c r="J213" s="349" t="e">
        <f t="shared" si="24"/>
        <v>#DIV/0!</v>
      </c>
      <c r="K213" s="303" t="e">
        <f t="shared" si="24"/>
        <v>#DIV/0!</v>
      </c>
      <c r="L213" s="303" t="e">
        <f t="shared" si="24"/>
        <v>#DIV/0!</v>
      </c>
      <c r="M213" s="303" t="e">
        <f t="shared" si="24"/>
        <v>#DIV/0!</v>
      </c>
      <c r="N213" s="303" t="e">
        <f t="shared" si="24"/>
        <v>#DIV/0!</v>
      </c>
      <c r="O213" s="303" t="e">
        <f t="shared" si="24"/>
        <v>#DIV/0!</v>
      </c>
      <c r="P213" s="303" t="e">
        <f t="shared" si="24"/>
        <v>#DIV/0!</v>
      </c>
      <c r="Q213" s="303" t="e">
        <f t="shared" si="24"/>
        <v>#DIV/0!</v>
      </c>
      <c r="R213" s="303" t="e">
        <f t="shared" si="24"/>
        <v>#DIV/0!</v>
      </c>
      <c r="S213" s="303" t="e">
        <f t="shared" si="24"/>
        <v>#DIV/0!</v>
      </c>
      <c r="T213" s="303" t="e">
        <f t="shared" si="24"/>
        <v>#DIV/0!</v>
      </c>
      <c r="U213" s="303" t="e">
        <f t="shared" si="24"/>
        <v>#DIV/0!</v>
      </c>
      <c r="V213" s="303" t="e">
        <f t="shared" si="24"/>
        <v>#DIV/0!</v>
      </c>
      <c r="W213" s="311" t="e">
        <f t="shared" si="24"/>
        <v>#DIV/0!</v>
      </c>
    </row>
    <row r="214" spans="2:23" ht="12.75" hidden="1">
      <c r="B214" s="65"/>
      <c r="C214" s="339" t="s">
        <v>183</v>
      </c>
      <c r="D214" s="340">
        <v>31</v>
      </c>
      <c r="E214" s="340" t="s">
        <v>1</v>
      </c>
      <c r="F214" s="339">
        <v>19</v>
      </c>
      <c r="G214" s="341">
        <f t="shared" si="22"/>
        <v>0.6129032258064516</v>
      </c>
      <c r="H214" s="304" t="s">
        <v>118</v>
      </c>
      <c r="I214" s="68"/>
      <c r="J214" s="349" t="e">
        <f t="shared" si="24"/>
        <v>#DIV/0!</v>
      </c>
      <c r="K214" s="303" t="e">
        <f t="shared" si="24"/>
        <v>#DIV/0!</v>
      </c>
      <c r="L214" s="303" t="e">
        <f t="shared" si="24"/>
        <v>#DIV/0!</v>
      </c>
      <c r="M214" s="303" t="e">
        <f t="shared" si="24"/>
        <v>#DIV/0!</v>
      </c>
      <c r="N214" s="303" t="e">
        <f t="shared" si="24"/>
        <v>#DIV/0!</v>
      </c>
      <c r="O214" s="303" t="e">
        <f t="shared" si="24"/>
        <v>#DIV/0!</v>
      </c>
      <c r="P214" s="303" t="e">
        <f t="shared" si="24"/>
        <v>#DIV/0!</v>
      </c>
      <c r="Q214" s="303" t="e">
        <f t="shared" si="24"/>
        <v>#DIV/0!</v>
      </c>
      <c r="R214" s="303" t="e">
        <f t="shared" si="24"/>
        <v>#DIV/0!</v>
      </c>
      <c r="S214" s="303" t="e">
        <f t="shared" si="24"/>
        <v>#DIV/0!</v>
      </c>
      <c r="T214" s="303" t="e">
        <f t="shared" si="24"/>
        <v>#DIV/0!</v>
      </c>
      <c r="U214" s="303" t="e">
        <f t="shared" si="24"/>
        <v>#DIV/0!</v>
      </c>
      <c r="V214" s="303" t="e">
        <f t="shared" si="24"/>
        <v>#DIV/0!</v>
      </c>
      <c r="W214" s="311" t="e">
        <f t="shared" si="24"/>
        <v>#DIV/0!</v>
      </c>
    </row>
    <row r="215" spans="2:23" ht="13.5" hidden="1" thickBot="1">
      <c r="B215" s="77"/>
      <c r="C215" s="342" t="s">
        <v>174</v>
      </c>
      <c r="D215" s="343">
        <v>32</v>
      </c>
      <c r="E215" s="343" t="s">
        <v>1</v>
      </c>
      <c r="F215" s="342">
        <v>19</v>
      </c>
      <c r="G215" s="344">
        <f t="shared" si="22"/>
        <v>0.59375</v>
      </c>
      <c r="H215" s="345" t="s">
        <v>118</v>
      </c>
      <c r="I215" s="78"/>
      <c r="J215" s="350" t="e">
        <f t="shared" si="24"/>
        <v>#DIV/0!</v>
      </c>
      <c r="K215" s="346" t="e">
        <f t="shared" si="24"/>
        <v>#DIV/0!</v>
      </c>
      <c r="L215" s="346" t="e">
        <f t="shared" si="24"/>
        <v>#DIV/0!</v>
      </c>
      <c r="M215" s="346" t="e">
        <f t="shared" si="24"/>
        <v>#DIV/0!</v>
      </c>
      <c r="N215" s="346" t="e">
        <f t="shared" si="24"/>
        <v>#DIV/0!</v>
      </c>
      <c r="O215" s="346" t="e">
        <f t="shared" si="24"/>
        <v>#DIV/0!</v>
      </c>
      <c r="P215" s="346" t="e">
        <f t="shared" si="24"/>
        <v>#DIV/0!</v>
      </c>
      <c r="Q215" s="346" t="e">
        <f t="shared" si="24"/>
        <v>#DIV/0!</v>
      </c>
      <c r="R215" s="346" t="e">
        <f t="shared" si="24"/>
        <v>#DIV/0!</v>
      </c>
      <c r="S215" s="346" t="e">
        <f t="shared" si="24"/>
        <v>#DIV/0!</v>
      </c>
      <c r="T215" s="346" t="e">
        <f t="shared" si="24"/>
        <v>#DIV/0!</v>
      </c>
      <c r="U215" s="346" t="e">
        <f t="shared" si="24"/>
        <v>#DIV/0!</v>
      </c>
      <c r="V215" s="346" t="e">
        <f t="shared" si="24"/>
        <v>#DIV/0!</v>
      </c>
      <c r="W215" s="347" t="e">
        <f t="shared" si="24"/>
        <v>#DIV/0!</v>
      </c>
    </row>
    <row r="216" ht="12.75" hidden="1"/>
    <row r="217" ht="12.75" hidden="1"/>
    <row r="218" ht="12.75" hidden="1"/>
    <row r="219" ht="13.5" hidden="1" thickBot="1"/>
    <row r="220" spans="2:25" ht="15.75" hidden="1">
      <c r="B220" s="281" t="s">
        <v>117</v>
      </c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3"/>
      <c r="Q220" s="282"/>
      <c r="R220" s="282"/>
      <c r="S220" s="282"/>
      <c r="T220" s="282"/>
      <c r="U220" s="282"/>
      <c r="V220" s="282"/>
      <c r="W220" s="282"/>
      <c r="X220" s="282"/>
      <c r="Y220" s="283"/>
    </row>
    <row r="221" spans="2:30" ht="12.75" hidden="1">
      <c r="B221" s="181" t="s">
        <v>30</v>
      </c>
      <c r="C221" s="166" t="s">
        <v>31</v>
      </c>
      <c r="D221" s="167">
        <v>19</v>
      </c>
      <c r="E221" s="167" t="s">
        <v>1</v>
      </c>
      <c r="F221" s="166">
        <v>32</v>
      </c>
      <c r="G221" s="264">
        <f aca="true" t="shared" si="25" ref="G221:G234">F221/D221</f>
        <v>1.6842105263157894</v>
      </c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297"/>
      <c r="X221" s="297"/>
      <c r="Y221" s="297"/>
      <c r="Z221" s="166" t="s">
        <v>31</v>
      </c>
      <c r="AA221" s="167">
        <v>19</v>
      </c>
      <c r="AB221" s="167" t="s">
        <v>1</v>
      </c>
      <c r="AC221" s="166">
        <v>32</v>
      </c>
      <c r="AD221" s="264">
        <f aca="true" t="shared" si="26" ref="AD221:AD234">AC221/AA221</f>
        <v>1.6842105263157894</v>
      </c>
    </row>
    <row r="222" spans="2:30" ht="15.75" hidden="1">
      <c r="B222" s="292"/>
      <c r="C222" s="168" t="s">
        <v>82</v>
      </c>
      <c r="D222" s="169">
        <v>19</v>
      </c>
      <c r="E222" s="169" t="s">
        <v>1</v>
      </c>
      <c r="F222" s="168">
        <v>31</v>
      </c>
      <c r="G222" s="265">
        <f t="shared" si="25"/>
        <v>1.631578947368421</v>
      </c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  <c r="T222" s="297"/>
      <c r="U222" s="297"/>
      <c r="V222" s="297"/>
      <c r="W222" s="297"/>
      <c r="X222" s="297"/>
      <c r="Y222" s="297"/>
      <c r="Z222" s="168" t="s">
        <v>82</v>
      </c>
      <c r="AA222" s="169">
        <v>19</v>
      </c>
      <c r="AB222" s="169" t="s">
        <v>1</v>
      </c>
      <c r="AC222" s="168">
        <v>31</v>
      </c>
      <c r="AD222" s="265">
        <f t="shared" si="26"/>
        <v>1.631578947368421</v>
      </c>
    </row>
    <row r="223" spans="2:30" ht="15.75" hidden="1">
      <c r="B223" s="292"/>
      <c r="C223" s="168" t="s">
        <v>32</v>
      </c>
      <c r="D223" s="169">
        <v>20</v>
      </c>
      <c r="E223" s="169" t="s">
        <v>1</v>
      </c>
      <c r="F223" s="168">
        <v>31</v>
      </c>
      <c r="G223" s="265">
        <f t="shared" si="25"/>
        <v>1.55</v>
      </c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297"/>
      <c r="X223" s="297"/>
      <c r="Y223" s="297"/>
      <c r="Z223" s="168" t="s">
        <v>32</v>
      </c>
      <c r="AA223" s="169">
        <v>20</v>
      </c>
      <c r="AB223" s="169" t="s">
        <v>1</v>
      </c>
      <c r="AC223" s="168">
        <v>31</v>
      </c>
      <c r="AD223" s="265">
        <f t="shared" si="26"/>
        <v>1.55</v>
      </c>
    </row>
    <row r="224" spans="2:30" ht="15.75" hidden="1">
      <c r="B224" s="292"/>
      <c r="C224" s="168" t="s">
        <v>33</v>
      </c>
      <c r="D224" s="169">
        <v>21</v>
      </c>
      <c r="E224" s="169" t="s">
        <v>1</v>
      </c>
      <c r="F224" s="168">
        <v>31</v>
      </c>
      <c r="G224" s="265">
        <f t="shared" si="25"/>
        <v>1.4761904761904763</v>
      </c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168" t="s">
        <v>33</v>
      </c>
      <c r="AA224" s="169">
        <v>21</v>
      </c>
      <c r="AB224" s="169" t="s">
        <v>1</v>
      </c>
      <c r="AC224" s="168">
        <v>31</v>
      </c>
      <c r="AD224" s="265">
        <f t="shared" si="26"/>
        <v>1.4761904761904763</v>
      </c>
    </row>
    <row r="225" spans="2:30" ht="15.75" hidden="1">
      <c r="B225" s="292"/>
      <c r="C225" s="168" t="s">
        <v>34</v>
      </c>
      <c r="D225" s="169">
        <v>21</v>
      </c>
      <c r="E225" s="169" t="s">
        <v>1</v>
      </c>
      <c r="F225" s="168">
        <v>30</v>
      </c>
      <c r="G225" s="265">
        <f t="shared" si="25"/>
        <v>1.4285714285714286</v>
      </c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  <c r="U225" s="297"/>
      <c r="V225" s="297"/>
      <c r="W225" s="297"/>
      <c r="X225" s="297"/>
      <c r="Y225" s="297"/>
      <c r="Z225" s="168" t="s">
        <v>34</v>
      </c>
      <c r="AA225" s="169">
        <v>21</v>
      </c>
      <c r="AB225" s="169" t="s">
        <v>1</v>
      </c>
      <c r="AC225" s="168">
        <v>30</v>
      </c>
      <c r="AD225" s="265">
        <f t="shared" si="26"/>
        <v>1.4285714285714286</v>
      </c>
    </row>
    <row r="226" spans="2:30" ht="12.75" hidden="1">
      <c r="B226" s="293"/>
      <c r="C226" s="272" t="s">
        <v>58</v>
      </c>
      <c r="D226" s="175">
        <v>22</v>
      </c>
      <c r="E226" s="175" t="s">
        <v>1</v>
      </c>
      <c r="F226" s="174">
        <v>31</v>
      </c>
      <c r="G226" s="268">
        <f t="shared" si="25"/>
        <v>1.4090909090909092</v>
      </c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8"/>
      <c r="W226" s="297"/>
      <c r="X226" s="297"/>
      <c r="Y226" s="284" t="s">
        <v>114</v>
      </c>
      <c r="Z226" s="272" t="s">
        <v>58</v>
      </c>
      <c r="AA226" s="175">
        <v>22</v>
      </c>
      <c r="AB226" s="175" t="s">
        <v>1</v>
      </c>
      <c r="AC226" s="174">
        <v>31</v>
      </c>
      <c r="AD226" s="268">
        <f t="shared" si="26"/>
        <v>1.4090909090909092</v>
      </c>
    </row>
    <row r="227" spans="2:30" ht="12.75" hidden="1">
      <c r="B227" s="293"/>
      <c r="C227" s="168" t="s">
        <v>35</v>
      </c>
      <c r="D227" s="169">
        <v>22</v>
      </c>
      <c r="E227" s="169" t="s">
        <v>1</v>
      </c>
      <c r="F227" s="168">
        <v>30</v>
      </c>
      <c r="G227" s="265">
        <f t="shared" si="25"/>
        <v>1.3636363636363635</v>
      </c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8"/>
      <c r="W227" s="297"/>
      <c r="X227" s="270" t="s">
        <v>114</v>
      </c>
      <c r="Y227" s="297"/>
      <c r="Z227" s="168" t="s">
        <v>35</v>
      </c>
      <c r="AA227" s="169">
        <v>22</v>
      </c>
      <c r="AB227" s="169" t="s">
        <v>1</v>
      </c>
      <c r="AC227" s="168">
        <v>30</v>
      </c>
      <c r="AD227" s="265">
        <f t="shared" si="26"/>
        <v>1.3636363636363635</v>
      </c>
    </row>
    <row r="228" spans="2:30" ht="12.75" hidden="1">
      <c r="B228" s="293"/>
      <c r="C228" s="168" t="s">
        <v>36</v>
      </c>
      <c r="D228" s="169">
        <v>22</v>
      </c>
      <c r="E228" s="169" t="s">
        <v>1</v>
      </c>
      <c r="F228" s="168">
        <v>29</v>
      </c>
      <c r="G228" s="265">
        <f t="shared" si="25"/>
        <v>1.3181818181818181</v>
      </c>
      <c r="H228" s="297"/>
      <c r="I228" s="297"/>
      <c r="J228" s="297"/>
      <c r="K228" s="297"/>
      <c r="L228" s="297"/>
      <c r="M228" s="297"/>
      <c r="N228" s="297"/>
      <c r="O228" s="297"/>
      <c r="P228" s="297"/>
      <c r="Q228" s="297"/>
      <c r="R228" s="297"/>
      <c r="S228" s="297"/>
      <c r="T228" s="297"/>
      <c r="U228" s="297"/>
      <c r="V228" s="298"/>
      <c r="W228" s="270" t="s">
        <v>114</v>
      </c>
      <c r="X228" s="297"/>
      <c r="Y228" s="297"/>
      <c r="Z228" s="168" t="s">
        <v>36</v>
      </c>
      <c r="AA228" s="169">
        <v>22</v>
      </c>
      <c r="AB228" s="169" t="s">
        <v>1</v>
      </c>
      <c r="AC228" s="168">
        <v>29</v>
      </c>
      <c r="AD228" s="265">
        <f t="shared" si="26"/>
        <v>1.3181818181818181</v>
      </c>
    </row>
    <row r="229" spans="2:30" ht="12.75" hidden="1">
      <c r="B229" s="293"/>
      <c r="C229" s="168" t="s">
        <v>37</v>
      </c>
      <c r="D229" s="169">
        <v>23</v>
      </c>
      <c r="E229" s="169" t="s">
        <v>1</v>
      </c>
      <c r="F229" s="168">
        <v>29</v>
      </c>
      <c r="G229" s="265">
        <f t="shared" si="25"/>
        <v>1.2608695652173914</v>
      </c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  <c r="T229" s="297"/>
      <c r="U229" s="297"/>
      <c r="V229" s="270" t="s">
        <v>114</v>
      </c>
      <c r="W229" s="297"/>
      <c r="X229" s="297"/>
      <c r="Y229" s="297"/>
      <c r="Z229" s="168" t="s">
        <v>37</v>
      </c>
      <c r="AA229" s="169">
        <v>23</v>
      </c>
      <c r="AB229" s="169" t="s">
        <v>1</v>
      </c>
      <c r="AC229" s="168">
        <v>29</v>
      </c>
      <c r="AD229" s="265">
        <f t="shared" si="26"/>
        <v>1.2608695652173914</v>
      </c>
    </row>
    <row r="230" spans="2:30" ht="12.75" hidden="1">
      <c r="B230" s="293"/>
      <c r="C230" s="168" t="s">
        <v>3</v>
      </c>
      <c r="D230" s="169">
        <v>23</v>
      </c>
      <c r="E230" s="169" t="s">
        <v>1</v>
      </c>
      <c r="F230" s="168">
        <v>28</v>
      </c>
      <c r="G230" s="265">
        <f t="shared" si="25"/>
        <v>1.2173913043478262</v>
      </c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70" t="s">
        <v>114</v>
      </c>
      <c r="V230" s="297"/>
      <c r="W230" s="297"/>
      <c r="X230" s="297"/>
      <c r="Y230" s="297"/>
      <c r="Z230" s="168" t="s">
        <v>3</v>
      </c>
      <c r="AA230" s="169">
        <v>23</v>
      </c>
      <c r="AB230" s="169" t="s">
        <v>1</v>
      </c>
      <c r="AC230" s="168">
        <v>28</v>
      </c>
      <c r="AD230" s="265">
        <f t="shared" si="26"/>
        <v>1.2173913043478262</v>
      </c>
    </row>
    <row r="231" spans="2:30" ht="12.75" hidden="1">
      <c r="B231" s="293"/>
      <c r="C231" s="168" t="s">
        <v>38</v>
      </c>
      <c r="D231" s="169">
        <v>23</v>
      </c>
      <c r="E231" s="169" t="s">
        <v>1</v>
      </c>
      <c r="F231" s="168">
        <v>27</v>
      </c>
      <c r="G231" s="265">
        <f t="shared" si="25"/>
        <v>1.173913043478261</v>
      </c>
      <c r="H231" s="297"/>
      <c r="I231" s="297"/>
      <c r="J231" s="297"/>
      <c r="K231" s="297"/>
      <c r="L231" s="297"/>
      <c r="M231" s="297"/>
      <c r="N231" s="297"/>
      <c r="O231" s="297"/>
      <c r="P231" s="297"/>
      <c r="Q231" s="297"/>
      <c r="R231" s="297"/>
      <c r="S231" s="297"/>
      <c r="T231" s="270" t="s">
        <v>114</v>
      </c>
      <c r="U231" s="297"/>
      <c r="V231" s="297"/>
      <c r="W231" s="297"/>
      <c r="X231" s="297"/>
      <c r="Y231" s="297"/>
      <c r="Z231" s="168" t="s">
        <v>38</v>
      </c>
      <c r="AA231" s="169">
        <v>23</v>
      </c>
      <c r="AB231" s="169" t="s">
        <v>1</v>
      </c>
      <c r="AC231" s="168">
        <v>27</v>
      </c>
      <c r="AD231" s="265">
        <f t="shared" si="26"/>
        <v>1.173913043478261</v>
      </c>
    </row>
    <row r="232" spans="2:30" ht="12.75" hidden="1">
      <c r="B232" s="293"/>
      <c r="C232" s="272" t="s">
        <v>41</v>
      </c>
      <c r="D232" s="175">
        <v>24</v>
      </c>
      <c r="E232" s="175" t="s">
        <v>1</v>
      </c>
      <c r="F232" s="174">
        <v>28</v>
      </c>
      <c r="G232" s="268">
        <f t="shared" si="25"/>
        <v>1.1666666666666667</v>
      </c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70" t="s">
        <v>114</v>
      </c>
      <c r="T232" s="297"/>
      <c r="U232" s="297"/>
      <c r="V232" s="297"/>
      <c r="W232" s="297"/>
      <c r="X232" s="297"/>
      <c r="Y232" s="297"/>
      <c r="Z232" s="272" t="s">
        <v>41</v>
      </c>
      <c r="AA232" s="175">
        <v>24</v>
      </c>
      <c r="AB232" s="175" t="s">
        <v>1</v>
      </c>
      <c r="AC232" s="174">
        <v>28</v>
      </c>
      <c r="AD232" s="268">
        <f t="shared" si="26"/>
        <v>1.1666666666666667</v>
      </c>
    </row>
    <row r="233" spans="2:30" ht="12.75" hidden="1">
      <c r="B233" s="293"/>
      <c r="C233" s="168" t="s">
        <v>23</v>
      </c>
      <c r="D233" s="169">
        <v>24</v>
      </c>
      <c r="E233" s="169" t="s">
        <v>1</v>
      </c>
      <c r="F233" s="168">
        <v>27</v>
      </c>
      <c r="G233" s="265">
        <f t="shared" si="25"/>
        <v>1.125</v>
      </c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70" t="s">
        <v>114</v>
      </c>
      <c r="S233" s="297"/>
      <c r="T233" s="297"/>
      <c r="U233" s="297"/>
      <c r="V233" s="297"/>
      <c r="W233" s="297"/>
      <c r="X233" s="297"/>
      <c r="Y233" s="297"/>
      <c r="Z233" s="168" t="s">
        <v>23</v>
      </c>
      <c r="AA233" s="169">
        <v>24</v>
      </c>
      <c r="AB233" s="169" t="s">
        <v>1</v>
      </c>
      <c r="AC233" s="168">
        <v>27</v>
      </c>
      <c r="AD233" s="265">
        <f t="shared" si="26"/>
        <v>1.125</v>
      </c>
    </row>
    <row r="234" spans="2:30" ht="12.75" hidden="1">
      <c r="B234" s="293"/>
      <c r="C234" s="170" t="s">
        <v>39</v>
      </c>
      <c r="D234" s="171">
        <v>25</v>
      </c>
      <c r="E234" s="171" t="s">
        <v>1</v>
      </c>
      <c r="F234" s="170">
        <v>27</v>
      </c>
      <c r="G234" s="266">
        <f t="shared" si="25"/>
        <v>1.08</v>
      </c>
      <c r="H234" s="297"/>
      <c r="I234" s="297"/>
      <c r="J234" s="297"/>
      <c r="K234" s="297"/>
      <c r="L234" s="297"/>
      <c r="M234" s="297"/>
      <c r="N234" s="297"/>
      <c r="O234" s="297"/>
      <c r="P234" s="297"/>
      <c r="Q234" s="270" t="s">
        <v>114</v>
      </c>
      <c r="R234" s="297"/>
      <c r="S234" s="297"/>
      <c r="T234" s="297"/>
      <c r="U234" s="297"/>
      <c r="V234" s="297"/>
      <c r="W234" s="297"/>
      <c r="X234" s="297"/>
      <c r="Y234" s="297"/>
      <c r="Z234" s="170" t="s">
        <v>39</v>
      </c>
      <c r="AA234" s="171">
        <v>25</v>
      </c>
      <c r="AB234" s="171" t="s">
        <v>1</v>
      </c>
      <c r="AC234" s="170">
        <v>27</v>
      </c>
      <c r="AD234" s="266">
        <f t="shared" si="26"/>
        <v>1.08</v>
      </c>
    </row>
    <row r="235" spans="2:25" ht="12.75" hidden="1">
      <c r="B235" s="293"/>
      <c r="C235" s="295"/>
      <c r="D235" s="295"/>
      <c r="E235" s="295"/>
      <c r="F235" s="295"/>
      <c r="G235" s="295"/>
      <c r="H235" s="277" t="s">
        <v>36</v>
      </c>
      <c r="I235" s="277" t="s">
        <v>37</v>
      </c>
      <c r="J235" s="277" t="s">
        <v>3</v>
      </c>
      <c r="K235" s="277" t="s">
        <v>38</v>
      </c>
      <c r="L235" s="277" t="s">
        <v>23</v>
      </c>
      <c r="M235" s="277" t="s">
        <v>39</v>
      </c>
      <c r="N235" s="277" t="s">
        <v>42</v>
      </c>
      <c r="O235" s="277" t="s">
        <v>43</v>
      </c>
      <c r="P235" s="277" t="s">
        <v>44</v>
      </c>
      <c r="Q235" s="277" t="s">
        <v>4</v>
      </c>
      <c r="R235" s="277" t="s">
        <v>45</v>
      </c>
      <c r="S235" s="277" t="s">
        <v>46</v>
      </c>
      <c r="T235" s="285" t="s">
        <v>115</v>
      </c>
      <c r="U235" s="277" t="s">
        <v>47</v>
      </c>
      <c r="V235" s="277" t="s">
        <v>48</v>
      </c>
      <c r="W235" s="286" t="s">
        <v>5</v>
      </c>
      <c r="X235" s="285" t="s">
        <v>116</v>
      </c>
      <c r="Y235" s="287" t="s">
        <v>49</v>
      </c>
    </row>
    <row r="236" spans="2:25" ht="12.75" hidden="1">
      <c r="B236" s="293"/>
      <c r="C236" s="295"/>
      <c r="D236" s="295"/>
      <c r="E236" s="295"/>
      <c r="F236" s="295"/>
      <c r="G236" s="295"/>
      <c r="H236" s="277">
        <v>22</v>
      </c>
      <c r="I236" s="277">
        <v>23</v>
      </c>
      <c r="J236" s="277">
        <v>23</v>
      </c>
      <c r="K236" s="277">
        <v>23</v>
      </c>
      <c r="L236" s="277">
        <v>24</v>
      </c>
      <c r="M236" s="277">
        <v>25</v>
      </c>
      <c r="N236" s="277">
        <v>25</v>
      </c>
      <c r="O236" s="277">
        <v>26</v>
      </c>
      <c r="P236" s="277">
        <v>26</v>
      </c>
      <c r="Q236" s="277">
        <v>27</v>
      </c>
      <c r="R236" s="277">
        <v>27</v>
      </c>
      <c r="S236" s="277">
        <v>28</v>
      </c>
      <c r="T236" s="288">
        <v>27</v>
      </c>
      <c r="U236" s="277">
        <v>28</v>
      </c>
      <c r="V236" s="277">
        <v>29</v>
      </c>
      <c r="W236" s="277">
        <v>29</v>
      </c>
      <c r="X236" s="288">
        <v>30</v>
      </c>
      <c r="Y236" s="287">
        <v>31</v>
      </c>
    </row>
    <row r="237" spans="2:25" ht="12.75" hidden="1">
      <c r="B237" s="293"/>
      <c r="C237" s="295"/>
      <c r="D237" s="295"/>
      <c r="E237" s="295"/>
      <c r="F237" s="295"/>
      <c r="G237" s="295"/>
      <c r="H237" s="277">
        <v>29</v>
      </c>
      <c r="I237" s="277">
        <v>29</v>
      </c>
      <c r="J237" s="277">
        <v>28</v>
      </c>
      <c r="K237" s="277">
        <v>27</v>
      </c>
      <c r="L237" s="277">
        <v>27</v>
      </c>
      <c r="M237" s="277">
        <v>27</v>
      </c>
      <c r="N237" s="277">
        <v>26</v>
      </c>
      <c r="O237" s="277">
        <v>26</v>
      </c>
      <c r="P237" s="277">
        <v>25</v>
      </c>
      <c r="Q237" s="277">
        <v>25</v>
      </c>
      <c r="R237" s="277">
        <v>24</v>
      </c>
      <c r="S237" s="277">
        <v>24</v>
      </c>
      <c r="T237" s="288">
        <v>23</v>
      </c>
      <c r="U237" s="277">
        <v>23</v>
      </c>
      <c r="V237" s="277">
        <v>23</v>
      </c>
      <c r="W237" s="277">
        <v>22</v>
      </c>
      <c r="X237" s="288">
        <v>22</v>
      </c>
      <c r="Y237" s="287">
        <v>22</v>
      </c>
    </row>
    <row r="238" spans="2:25" ht="12.75" hidden="1">
      <c r="B238" s="293"/>
      <c r="C238" s="295"/>
      <c r="D238" s="295"/>
      <c r="E238" s="295"/>
      <c r="F238" s="295"/>
      <c r="G238" s="295"/>
      <c r="H238" s="278">
        <f aca="true" t="shared" si="27" ref="H238:P238">H237/H236</f>
        <v>1.3181818181818181</v>
      </c>
      <c r="I238" s="278">
        <f t="shared" si="27"/>
        <v>1.2608695652173914</v>
      </c>
      <c r="J238" s="278">
        <f t="shared" si="27"/>
        <v>1.2173913043478262</v>
      </c>
      <c r="K238" s="278">
        <f t="shared" si="27"/>
        <v>1.173913043478261</v>
      </c>
      <c r="L238" s="278">
        <f t="shared" si="27"/>
        <v>1.125</v>
      </c>
      <c r="M238" s="278">
        <f t="shared" si="27"/>
        <v>1.08</v>
      </c>
      <c r="N238" s="278">
        <f t="shared" si="27"/>
        <v>1.04</v>
      </c>
      <c r="O238" s="278">
        <f t="shared" si="27"/>
        <v>1</v>
      </c>
      <c r="P238" s="278">
        <f t="shared" si="27"/>
        <v>0.9615384615384616</v>
      </c>
      <c r="Q238" s="278">
        <f aca="true" t="shared" si="28" ref="Q238:Y238">Q237/Q236</f>
        <v>0.9259259259259259</v>
      </c>
      <c r="R238" s="278">
        <f t="shared" si="28"/>
        <v>0.8888888888888888</v>
      </c>
      <c r="S238" s="278">
        <f t="shared" si="28"/>
        <v>0.8571428571428571</v>
      </c>
      <c r="T238" s="289">
        <f t="shared" si="28"/>
        <v>0.8518518518518519</v>
      </c>
      <c r="U238" s="278">
        <f t="shared" si="28"/>
        <v>0.8214285714285714</v>
      </c>
      <c r="V238" s="278">
        <f t="shared" si="28"/>
        <v>0.7931034482758621</v>
      </c>
      <c r="W238" s="278">
        <f t="shared" si="28"/>
        <v>0.7586206896551724</v>
      </c>
      <c r="X238" s="289">
        <f t="shared" si="28"/>
        <v>0.7333333333333333</v>
      </c>
      <c r="Y238" s="290">
        <f t="shared" si="28"/>
        <v>0.7096774193548387</v>
      </c>
    </row>
    <row r="239" spans="2:25" ht="13.5" hidden="1" thickBot="1">
      <c r="B239" s="294"/>
      <c r="C239" s="296"/>
      <c r="D239" s="296"/>
      <c r="E239" s="296"/>
      <c r="F239" s="296"/>
      <c r="G239" s="296"/>
      <c r="H239" s="291" t="s">
        <v>40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9"/>
    </row>
    <row r="240" spans="8:16" ht="12.75" hidden="1"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8:16" ht="12.75">
      <c r="H241" s="276"/>
      <c r="I241" s="276"/>
      <c r="J241" s="276"/>
      <c r="K241" s="276"/>
      <c r="L241" s="276"/>
      <c r="M241" s="276"/>
      <c r="N241" s="276"/>
      <c r="O241" s="276"/>
      <c r="P241" s="276"/>
    </row>
    <row r="242" spans="9:16" ht="12.75">
      <c r="I242" s="276"/>
      <c r="J242" s="276"/>
      <c r="K242" s="276"/>
      <c r="L242" s="276"/>
      <c r="M242" s="276"/>
      <c r="N242" s="276"/>
      <c r="O242" s="276"/>
      <c r="P242" s="276"/>
    </row>
    <row r="243" spans="9:16" ht="12.75">
      <c r="I243" s="276"/>
      <c r="J243" s="276"/>
      <c r="K243" s="276"/>
      <c r="L243" s="276"/>
      <c r="M243" s="276"/>
      <c r="N243" s="276"/>
      <c r="O243" s="276"/>
      <c r="P243" s="276"/>
    </row>
    <row r="244" spans="9:16" ht="12.75">
      <c r="I244" s="276"/>
      <c r="J244" s="276"/>
      <c r="K244" s="276"/>
      <c r="L244" s="276"/>
      <c r="M244" s="276"/>
      <c r="N244" s="276"/>
      <c r="O244" s="276"/>
      <c r="P244" s="276"/>
    </row>
    <row r="245" spans="9:16" ht="12.75">
      <c r="I245" s="276"/>
      <c r="J245" s="276"/>
      <c r="K245" s="276"/>
      <c r="L245" s="276"/>
      <c r="M245" s="276"/>
      <c r="N245" s="276"/>
      <c r="O245" s="276"/>
      <c r="P245" s="276"/>
    </row>
    <row r="246" spans="9:16" ht="12.75">
      <c r="I246" s="276"/>
      <c r="J246" s="276"/>
      <c r="K246" s="276"/>
      <c r="L246" s="276"/>
      <c r="M246" s="276"/>
      <c r="N246" s="276"/>
      <c r="O246" s="276"/>
      <c r="P246" s="276"/>
    </row>
    <row r="247" spans="8:16" ht="12.75">
      <c r="H247" s="276"/>
      <c r="I247" s="276"/>
      <c r="J247" s="276"/>
      <c r="K247" s="276"/>
      <c r="L247" s="276"/>
      <c r="M247" s="276"/>
      <c r="N247" s="276"/>
      <c r="O247" s="276"/>
      <c r="P247" s="276"/>
    </row>
    <row r="248" spans="8:16" ht="12.75">
      <c r="H248" s="276"/>
      <c r="I248" s="276"/>
      <c r="J248" s="276"/>
      <c r="K248" s="276"/>
      <c r="L248" s="276"/>
      <c r="M248" s="276"/>
      <c r="N248" s="276"/>
      <c r="O248" s="276"/>
      <c r="P248" s="276"/>
    </row>
    <row r="249" spans="8:16" ht="12.75">
      <c r="H249" s="276"/>
      <c r="I249" s="276"/>
      <c r="J249" s="276"/>
      <c r="K249" s="276"/>
      <c r="L249" s="276"/>
      <c r="M249" s="276"/>
      <c r="N249" s="276"/>
      <c r="O249" s="276"/>
      <c r="P249" s="276"/>
    </row>
    <row r="250" spans="8:16" ht="12.75">
      <c r="H250" s="276"/>
      <c r="I250" s="276"/>
      <c r="J250" s="276"/>
      <c r="K250" s="276"/>
      <c r="L250" s="276"/>
      <c r="M250" s="276"/>
      <c r="N250" s="276"/>
      <c r="O250" s="276"/>
      <c r="P250" s="276"/>
    </row>
    <row r="251" spans="8:16" ht="12.75">
      <c r="H251" s="276"/>
      <c r="I251" s="276"/>
      <c r="J251" s="276"/>
      <c r="K251" s="276"/>
      <c r="L251" s="276"/>
      <c r="M251" s="276"/>
      <c r="N251" s="276"/>
      <c r="O251" s="276"/>
      <c r="P251" s="276"/>
    </row>
    <row r="252" spans="8:16" ht="12.75">
      <c r="H252" s="276"/>
      <c r="I252" s="276"/>
      <c r="J252" s="276"/>
      <c r="K252" s="276"/>
      <c r="L252" s="276"/>
      <c r="M252" s="276"/>
      <c r="N252" s="276"/>
      <c r="O252" s="276"/>
      <c r="P252" s="276"/>
    </row>
    <row r="253" spans="8:16" ht="12.75">
      <c r="H253" s="276"/>
      <c r="I253" s="276"/>
      <c r="J253" s="276"/>
      <c r="K253" s="276"/>
      <c r="L253" s="276"/>
      <c r="M253" s="276"/>
      <c r="N253" s="276"/>
      <c r="O253" s="276"/>
      <c r="P253" s="276"/>
    </row>
    <row r="254" spans="8:16" ht="12.75">
      <c r="H254" s="279"/>
      <c r="I254" s="279"/>
      <c r="J254" s="279"/>
      <c r="K254" s="279"/>
      <c r="L254" s="279"/>
      <c r="M254" s="279"/>
      <c r="N254" s="279"/>
      <c r="O254" s="279"/>
      <c r="P254" s="279"/>
    </row>
    <row r="255" spans="8:16" ht="12.75">
      <c r="H255" s="273"/>
      <c r="I255" s="273"/>
      <c r="J255" s="273"/>
      <c r="K255" s="273"/>
      <c r="L255" s="273"/>
      <c r="M255" s="273"/>
      <c r="N255" s="273"/>
      <c r="O255" s="273"/>
      <c r="P255" s="273"/>
    </row>
    <row r="256" spans="8:16" ht="12.75">
      <c r="H256" s="273"/>
      <c r="I256" s="273"/>
      <c r="J256" s="273"/>
      <c r="K256" s="273"/>
      <c r="L256" s="273"/>
      <c r="M256" s="273"/>
      <c r="N256" s="273"/>
      <c r="O256" s="273"/>
      <c r="P256" s="273"/>
    </row>
    <row r="257" spans="8:16" ht="12.75">
      <c r="H257" s="273"/>
      <c r="I257" s="273"/>
      <c r="J257" s="273"/>
      <c r="K257" s="273"/>
      <c r="L257" s="273"/>
      <c r="M257" s="273"/>
      <c r="N257" s="273"/>
      <c r="O257" s="273"/>
      <c r="P257" s="273"/>
    </row>
    <row r="258" spans="8:16" ht="12.75">
      <c r="H258" s="280"/>
      <c r="I258" s="280"/>
      <c r="J258" s="280"/>
      <c r="K258" s="280"/>
      <c r="L258" s="280"/>
      <c r="M258" s="280"/>
      <c r="N258" s="280"/>
      <c r="O258" s="280"/>
      <c r="P258" s="280"/>
    </row>
    <row r="259" spans="8:16" ht="12.75">
      <c r="H259" s="269"/>
      <c r="I259" s="269"/>
      <c r="J259" s="269"/>
      <c r="K259" s="269"/>
      <c r="L259" s="269"/>
      <c r="M259" s="269"/>
      <c r="N259" s="269"/>
      <c r="O259" s="269"/>
      <c r="P259" s="269"/>
    </row>
  </sheetData>
  <sheetProtection/>
  <dataValidations count="5">
    <dataValidation type="list" allowBlank="1" showInputMessage="1" showErrorMessage="1" sqref="C82">
      <formula1>$C$154:$C$160</formula1>
    </dataValidation>
    <dataValidation type="list" allowBlank="1" showInputMessage="1" showErrorMessage="1" sqref="C83">
      <formula1>$C$162:$C$176</formula1>
    </dataValidation>
    <dataValidation type="list" allowBlank="1" showInputMessage="1" showErrorMessage="1" sqref="C84">
      <formula1>$C$178:$C$191</formula1>
    </dataValidation>
    <dataValidation type="list" allowBlank="1" showInputMessage="1" showErrorMessage="1" sqref="C85">
      <formula1>$C$193:$C$210</formula1>
    </dataValidation>
    <dataValidation type="list" allowBlank="1" showInputMessage="1" showErrorMessage="1" sqref="C86">
      <formula1>$C$193:$C$215</formula1>
    </dataValidation>
  </dataValidations>
  <hyperlinks>
    <hyperlink ref="F20" r:id="rId1" display="Get tire diameter here"/>
  </hyperlinks>
  <printOptions/>
  <pageMargins left="0.75" right="0.75" top="0.75" bottom="0.5" header="0.5" footer="0.5"/>
  <pageSetup orientation="portrait" scale="150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81"/>
  <sheetViews>
    <sheetView showGridLines="0" zoomScalePageLayoutView="0" workbookViewId="0" topLeftCell="A43">
      <pane xSplit="7" topLeftCell="N1" activePane="topRight" state="frozen"/>
      <selection pane="topLeft" activeCell="A45" sqref="A45"/>
      <selection pane="topRight" activeCell="B1" sqref="B1"/>
    </sheetView>
  </sheetViews>
  <sheetFormatPr defaultColWidth="9.00390625" defaultRowHeight="12.75"/>
  <cols>
    <col min="1" max="1" width="3.75390625" style="0" customWidth="1"/>
    <col min="8" max="8" width="13.375" style="0" customWidth="1"/>
  </cols>
  <sheetData>
    <row r="1" ht="12.75">
      <c r="B1" t="str">
        <f>'901 Gear Ratio Model'!B1</f>
        <v>05/17/08 - 914 901 Gear Ratio Sheet - Greg Braun (race914 )</v>
      </c>
    </row>
    <row r="2" ht="12.75" hidden="1">
      <c r="J2" t="s">
        <v>148</v>
      </c>
    </row>
    <row r="3" ht="12.75" hidden="1"/>
    <row r="4" spans="10:12" ht="12.75" hidden="1">
      <c r="J4" t="s">
        <v>18</v>
      </c>
      <c r="L4" s="301">
        <f>'901 Gear Ratio Model'!G18</f>
        <v>4.428571428571429</v>
      </c>
    </row>
    <row r="5" spans="10:13" ht="12.75" hidden="1">
      <c r="J5" t="s">
        <v>73</v>
      </c>
      <c r="L5" s="302">
        <f>'901 Gear Ratio Model'!G21</f>
        <v>73.476</v>
      </c>
      <c r="M5" t="s">
        <v>107</v>
      </c>
    </row>
    <row r="6" spans="10:13" ht="12.75" hidden="1">
      <c r="J6" t="s">
        <v>149</v>
      </c>
      <c r="L6" s="302">
        <f>'901 Gear Ratio Model'!J21</f>
        <v>63360</v>
      </c>
      <c r="M6" t="s">
        <v>107</v>
      </c>
    </row>
    <row r="8" ht="13.5" thickBot="1"/>
    <row r="9" spans="2:23" ht="16.5" thickBot="1">
      <c r="B9" s="216" t="s">
        <v>150</v>
      </c>
      <c r="C9" s="214"/>
      <c r="D9" s="214"/>
      <c r="E9" s="214"/>
      <c r="F9" s="214"/>
      <c r="G9" s="214"/>
      <c r="H9" s="214"/>
      <c r="I9" s="215"/>
      <c r="J9" s="215">
        <v>2000</v>
      </c>
      <c r="K9" s="215">
        <v>2500</v>
      </c>
      <c r="L9" s="215">
        <v>3000</v>
      </c>
      <c r="M9" s="215">
        <v>3500</v>
      </c>
      <c r="N9" s="215">
        <v>4000</v>
      </c>
      <c r="O9" s="215">
        <v>4500</v>
      </c>
      <c r="P9" s="215">
        <v>5000</v>
      </c>
      <c r="Q9" s="215">
        <v>5500</v>
      </c>
      <c r="R9" s="215">
        <v>6000</v>
      </c>
      <c r="S9" s="215">
        <v>6500</v>
      </c>
      <c r="T9" s="215">
        <v>7000</v>
      </c>
      <c r="U9" s="215">
        <v>7500</v>
      </c>
      <c r="V9" s="215">
        <v>8000</v>
      </c>
      <c r="W9" s="215">
        <v>8500</v>
      </c>
    </row>
    <row r="10" spans="2:23" ht="12.75">
      <c r="B10" s="351" t="s">
        <v>171</v>
      </c>
      <c r="C10" s="352"/>
      <c r="D10" s="352"/>
      <c r="E10" s="352"/>
      <c r="F10" s="352"/>
      <c r="G10" s="353"/>
      <c r="H10" s="68"/>
      <c r="I10" s="69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</row>
    <row r="11" spans="2:23" ht="13.5" thickBot="1">
      <c r="B11" s="354"/>
      <c r="C11" s="355"/>
      <c r="D11" s="355"/>
      <c r="E11" s="355"/>
      <c r="F11" s="355"/>
      <c r="G11" s="356"/>
      <c r="H11" s="68"/>
      <c r="I11" s="69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pans="2:23" ht="12.75">
      <c r="B12" s="65"/>
      <c r="C12" s="68"/>
      <c r="D12" s="68"/>
      <c r="E12" s="68"/>
      <c r="F12" s="68"/>
      <c r="G12" s="68"/>
      <c r="H12" s="68"/>
      <c r="I12" s="69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</row>
    <row r="13" spans="2:23" ht="12.75">
      <c r="B13" s="180" t="s">
        <v>25</v>
      </c>
      <c r="C13" s="160" t="s">
        <v>0</v>
      </c>
      <c r="D13" s="161">
        <v>11</v>
      </c>
      <c r="E13" s="161" t="s">
        <v>1</v>
      </c>
      <c r="F13" s="160">
        <v>34</v>
      </c>
      <c r="G13" s="259">
        <f>F13/D13</f>
        <v>3.090909090909091</v>
      </c>
      <c r="H13" s="68"/>
      <c r="I13" s="250" t="s">
        <v>109</v>
      </c>
      <c r="J13" s="244">
        <f aca="true" t="shared" si="0" ref="J13:W19">(((J$9/$G13/$L$4)*60)*$L$5)/$L$6</f>
        <v>10.166271347248577</v>
      </c>
      <c r="K13" s="244">
        <f t="shared" si="0"/>
        <v>12.70783918406072</v>
      </c>
      <c r="L13" s="244">
        <f t="shared" si="0"/>
        <v>15.249407020872866</v>
      </c>
      <c r="M13" s="244">
        <f t="shared" si="0"/>
        <v>17.79097485768501</v>
      </c>
      <c r="N13" s="244">
        <f t="shared" si="0"/>
        <v>20.332542694497153</v>
      </c>
      <c r="O13" s="244">
        <f t="shared" si="0"/>
        <v>22.874110531309295</v>
      </c>
      <c r="P13" s="244">
        <f t="shared" si="0"/>
        <v>25.41567836812144</v>
      </c>
      <c r="Q13" s="244">
        <f t="shared" si="0"/>
        <v>27.957246204933586</v>
      </c>
      <c r="R13" s="244">
        <f t="shared" si="0"/>
        <v>30.49881404174573</v>
      </c>
      <c r="S13" s="244">
        <f t="shared" si="0"/>
        <v>33.040381878557874</v>
      </c>
      <c r="T13" s="244">
        <f t="shared" si="0"/>
        <v>35.58194971537002</v>
      </c>
      <c r="U13" s="244">
        <f t="shared" si="0"/>
        <v>38.123517552182165</v>
      </c>
      <c r="V13" s="244">
        <f t="shared" si="0"/>
        <v>40.66508538899431</v>
      </c>
      <c r="W13" s="245">
        <f t="shared" si="0"/>
        <v>43.20665322580645</v>
      </c>
    </row>
    <row r="14" spans="2:23" ht="12.75">
      <c r="B14" s="65"/>
      <c r="C14" s="162" t="s">
        <v>26</v>
      </c>
      <c r="D14" s="163">
        <v>12</v>
      </c>
      <c r="E14" s="163" t="s">
        <v>1</v>
      </c>
      <c r="F14" s="162">
        <v>34</v>
      </c>
      <c r="G14" s="260">
        <f aca="true" t="shared" si="1" ref="G14:G32">F14/D14</f>
        <v>2.8333333333333335</v>
      </c>
      <c r="H14" s="68"/>
      <c r="I14" s="69"/>
      <c r="J14" s="303">
        <f t="shared" si="0"/>
        <v>11.090477833362081</v>
      </c>
      <c r="K14" s="303">
        <f t="shared" si="0"/>
        <v>13.863097291702605</v>
      </c>
      <c r="L14" s="303">
        <f t="shared" si="0"/>
        <v>16.635716750043123</v>
      </c>
      <c r="M14" s="303">
        <f t="shared" si="0"/>
        <v>19.408336208383645</v>
      </c>
      <c r="N14" s="303">
        <f t="shared" si="0"/>
        <v>22.180955666724163</v>
      </c>
      <c r="O14" s="303">
        <f t="shared" si="0"/>
        <v>24.953575125064688</v>
      </c>
      <c r="P14" s="303">
        <f t="shared" si="0"/>
        <v>27.72619458340521</v>
      </c>
      <c r="Q14" s="303">
        <f t="shared" si="0"/>
        <v>30.498814041745728</v>
      </c>
      <c r="R14" s="303">
        <f t="shared" si="0"/>
        <v>33.271433500086246</v>
      </c>
      <c r="S14" s="303">
        <f t="shared" si="0"/>
        <v>36.044052958426775</v>
      </c>
      <c r="T14" s="303">
        <f t="shared" si="0"/>
        <v>38.81667241676729</v>
      </c>
      <c r="U14" s="303">
        <f t="shared" si="0"/>
        <v>41.58929187510781</v>
      </c>
      <c r="V14" s="303">
        <f t="shared" si="0"/>
        <v>44.361911333448326</v>
      </c>
      <c r="W14" s="311">
        <f t="shared" si="0"/>
        <v>47.13453079178885</v>
      </c>
    </row>
    <row r="15" spans="2:23" ht="12.75">
      <c r="B15" s="65"/>
      <c r="C15" s="162" t="s">
        <v>27</v>
      </c>
      <c r="D15" s="163">
        <v>14</v>
      </c>
      <c r="E15" s="163" t="s">
        <v>1</v>
      </c>
      <c r="F15" s="162">
        <v>37</v>
      </c>
      <c r="G15" s="260">
        <f t="shared" si="1"/>
        <v>2.642857142857143</v>
      </c>
      <c r="H15" s="68"/>
      <c r="I15" s="69"/>
      <c r="J15" s="303">
        <f t="shared" si="0"/>
        <v>11.889791551081872</v>
      </c>
      <c r="K15" s="303">
        <f t="shared" si="0"/>
        <v>14.86223943885234</v>
      </c>
      <c r="L15" s="303">
        <f t="shared" si="0"/>
        <v>17.83468732662281</v>
      </c>
      <c r="M15" s="303">
        <f t="shared" si="0"/>
        <v>20.807135214393284</v>
      </c>
      <c r="N15" s="303">
        <f t="shared" si="0"/>
        <v>23.779583102163745</v>
      </c>
      <c r="O15" s="303">
        <f t="shared" si="0"/>
        <v>26.752030989934216</v>
      </c>
      <c r="P15" s="303">
        <f t="shared" si="0"/>
        <v>29.72447887770468</v>
      </c>
      <c r="Q15" s="303">
        <f t="shared" si="0"/>
        <v>32.696926765475155</v>
      </c>
      <c r="R15" s="303">
        <f t="shared" si="0"/>
        <v>35.66937465324562</v>
      </c>
      <c r="S15" s="303">
        <f t="shared" si="0"/>
        <v>38.6418225410161</v>
      </c>
      <c r="T15" s="303">
        <f t="shared" si="0"/>
        <v>41.61427042878657</v>
      </c>
      <c r="U15" s="303">
        <f t="shared" si="0"/>
        <v>44.586718316557025</v>
      </c>
      <c r="V15" s="303">
        <f t="shared" si="0"/>
        <v>47.55916620432749</v>
      </c>
      <c r="W15" s="311">
        <f t="shared" si="0"/>
        <v>50.53161409209796</v>
      </c>
    </row>
    <row r="16" spans="2:23" ht="12.75">
      <c r="B16" s="65"/>
      <c r="C16" s="162" t="s">
        <v>80</v>
      </c>
      <c r="D16" s="163">
        <v>12</v>
      </c>
      <c r="E16" s="163"/>
      <c r="F16" s="162">
        <v>29</v>
      </c>
      <c r="G16" s="260">
        <f t="shared" si="1"/>
        <v>2.4166666666666665</v>
      </c>
      <c r="H16" s="68"/>
      <c r="I16" s="69"/>
      <c r="J16" s="303">
        <f t="shared" si="0"/>
        <v>13.002629183941755</v>
      </c>
      <c r="K16" s="303">
        <f t="shared" si="0"/>
        <v>16.25328647992719</v>
      </c>
      <c r="L16" s="303">
        <f t="shared" si="0"/>
        <v>19.50394377591263</v>
      </c>
      <c r="M16" s="303">
        <f t="shared" si="0"/>
        <v>22.754601071898065</v>
      </c>
      <c r="N16" s="303">
        <f t="shared" si="0"/>
        <v>26.00525836788351</v>
      </c>
      <c r="O16" s="303">
        <f t="shared" si="0"/>
        <v>29.25591566386894</v>
      </c>
      <c r="P16" s="303">
        <f t="shared" si="0"/>
        <v>32.50657295985438</v>
      </c>
      <c r="Q16" s="303">
        <f t="shared" si="0"/>
        <v>35.75723025583982</v>
      </c>
      <c r="R16" s="303">
        <f t="shared" si="0"/>
        <v>39.00788755182526</v>
      </c>
      <c r="S16" s="303">
        <f t="shared" si="0"/>
        <v>42.2585448478107</v>
      </c>
      <c r="T16" s="303">
        <f t="shared" si="0"/>
        <v>45.50920214379613</v>
      </c>
      <c r="U16" s="303">
        <f t="shared" si="0"/>
        <v>48.75985943978158</v>
      </c>
      <c r="V16" s="303">
        <f t="shared" si="0"/>
        <v>52.01051673576702</v>
      </c>
      <c r="W16" s="311">
        <f t="shared" si="0"/>
        <v>55.26117403175245</v>
      </c>
    </row>
    <row r="17" spans="2:23" ht="12.75">
      <c r="B17" s="65"/>
      <c r="C17" s="162" t="s">
        <v>28</v>
      </c>
      <c r="D17" s="163">
        <v>15</v>
      </c>
      <c r="E17" s="163" t="s">
        <v>1</v>
      </c>
      <c r="F17" s="162">
        <v>36</v>
      </c>
      <c r="G17" s="260">
        <f t="shared" si="1"/>
        <v>2.4</v>
      </c>
      <c r="H17" s="68"/>
      <c r="I17" s="69"/>
      <c r="J17" s="303">
        <f t="shared" si="0"/>
        <v>13.09292521994135</v>
      </c>
      <c r="K17" s="303">
        <f t="shared" si="0"/>
        <v>16.366156524926687</v>
      </c>
      <c r="L17" s="303">
        <f t="shared" si="0"/>
        <v>19.639387829912025</v>
      </c>
      <c r="M17" s="303">
        <f t="shared" si="0"/>
        <v>22.912619134897362</v>
      </c>
      <c r="N17" s="303">
        <f t="shared" si="0"/>
        <v>26.1858504398827</v>
      </c>
      <c r="O17" s="303">
        <f t="shared" si="0"/>
        <v>29.459081744868037</v>
      </c>
      <c r="P17" s="303">
        <f t="shared" si="0"/>
        <v>32.732313049853374</v>
      </c>
      <c r="Q17" s="303">
        <f t="shared" si="0"/>
        <v>36.00554435483871</v>
      </c>
      <c r="R17" s="303">
        <f t="shared" si="0"/>
        <v>39.27877565982405</v>
      </c>
      <c r="S17" s="303">
        <f t="shared" si="0"/>
        <v>42.55200696480938</v>
      </c>
      <c r="T17" s="303">
        <f t="shared" si="0"/>
        <v>45.825238269794724</v>
      </c>
      <c r="U17" s="303">
        <f t="shared" si="0"/>
        <v>49.09846957478006</v>
      </c>
      <c r="V17" s="303">
        <f t="shared" si="0"/>
        <v>52.3717008797654</v>
      </c>
      <c r="W17" s="311">
        <f t="shared" si="0"/>
        <v>55.644932184750736</v>
      </c>
    </row>
    <row r="18" spans="2:23" ht="12.75">
      <c r="B18" s="65"/>
      <c r="C18" s="162" t="s">
        <v>81</v>
      </c>
      <c r="D18" s="163">
        <v>13</v>
      </c>
      <c r="E18" s="163"/>
      <c r="F18" s="162">
        <v>29</v>
      </c>
      <c r="G18" s="260">
        <f t="shared" si="1"/>
        <v>2.230769230769231</v>
      </c>
      <c r="H18" s="68"/>
      <c r="I18" s="69"/>
      <c r="J18" s="303">
        <f t="shared" si="0"/>
        <v>14.086181615936898</v>
      </c>
      <c r="K18" s="303">
        <f t="shared" si="0"/>
        <v>17.60772701992112</v>
      </c>
      <c r="L18" s="303">
        <f t="shared" si="0"/>
        <v>21.129272423905345</v>
      </c>
      <c r="M18" s="303">
        <f t="shared" si="0"/>
        <v>24.650817827889572</v>
      </c>
      <c r="N18" s="303">
        <f t="shared" si="0"/>
        <v>28.172363231873796</v>
      </c>
      <c r="O18" s="303">
        <f t="shared" si="0"/>
        <v>31.69390863585802</v>
      </c>
      <c r="P18" s="303">
        <f t="shared" si="0"/>
        <v>35.21545403984224</v>
      </c>
      <c r="Q18" s="303">
        <f t="shared" si="0"/>
        <v>38.73699944382646</v>
      </c>
      <c r="R18" s="303">
        <f t="shared" si="0"/>
        <v>42.25854484781069</v>
      </c>
      <c r="S18" s="303">
        <f t="shared" si="0"/>
        <v>45.78009025179492</v>
      </c>
      <c r="T18" s="303">
        <f t="shared" si="0"/>
        <v>49.301635655779144</v>
      </c>
      <c r="U18" s="303">
        <f t="shared" si="0"/>
        <v>52.82318105976338</v>
      </c>
      <c r="V18" s="303">
        <f t="shared" si="0"/>
        <v>56.34472646374759</v>
      </c>
      <c r="W18" s="311">
        <f t="shared" si="0"/>
        <v>59.86627186773182</v>
      </c>
    </row>
    <row r="19" spans="2:23" ht="12.75">
      <c r="B19" s="65"/>
      <c r="C19" s="164" t="s">
        <v>53</v>
      </c>
      <c r="D19" s="165">
        <v>16</v>
      </c>
      <c r="E19" s="165"/>
      <c r="F19" s="164">
        <v>35</v>
      </c>
      <c r="G19" s="261">
        <f t="shared" si="1"/>
        <v>2.1875</v>
      </c>
      <c r="H19" s="68"/>
      <c r="I19" s="69"/>
      <c r="J19" s="303">
        <f t="shared" si="0"/>
        <v>14.364809384164221</v>
      </c>
      <c r="K19" s="303">
        <f t="shared" si="0"/>
        <v>17.95601173020528</v>
      </c>
      <c r="L19" s="303">
        <f t="shared" si="0"/>
        <v>21.54721407624633</v>
      </c>
      <c r="M19" s="303">
        <f t="shared" si="0"/>
        <v>25.13841642228739</v>
      </c>
      <c r="N19" s="303">
        <f t="shared" si="0"/>
        <v>28.729618768328443</v>
      </c>
      <c r="O19" s="303">
        <f t="shared" si="0"/>
        <v>32.3208211143695</v>
      </c>
      <c r="P19" s="303">
        <f t="shared" si="0"/>
        <v>35.91202346041056</v>
      </c>
      <c r="Q19" s="303">
        <f t="shared" si="0"/>
        <v>39.50322580645162</v>
      </c>
      <c r="R19" s="303">
        <f t="shared" si="0"/>
        <v>43.09442815249266</v>
      </c>
      <c r="S19" s="303">
        <f t="shared" si="0"/>
        <v>46.685630498533726</v>
      </c>
      <c r="T19" s="303">
        <f t="shared" si="0"/>
        <v>50.27683284457478</v>
      </c>
      <c r="U19" s="303">
        <f t="shared" si="0"/>
        <v>53.868035190615835</v>
      </c>
      <c r="V19" s="303">
        <f t="shared" si="0"/>
        <v>57.459237536656886</v>
      </c>
      <c r="W19" s="311">
        <f t="shared" si="0"/>
        <v>61.050439882697944</v>
      </c>
    </row>
    <row r="20" spans="2:23" ht="12.75">
      <c r="B20" s="65"/>
      <c r="C20" s="67"/>
      <c r="D20" s="68"/>
      <c r="E20" s="68"/>
      <c r="F20" s="67"/>
      <c r="G20" s="262"/>
      <c r="H20" s="68"/>
      <c r="I20" s="69"/>
      <c r="J20" s="242">
        <v>2000</v>
      </c>
      <c r="K20" s="242">
        <v>2500</v>
      </c>
      <c r="L20" s="242">
        <v>3000</v>
      </c>
      <c r="M20" s="242">
        <v>3500</v>
      </c>
      <c r="N20" s="242">
        <v>4000</v>
      </c>
      <c r="O20" s="242">
        <v>4500</v>
      </c>
      <c r="P20" s="242">
        <v>5000</v>
      </c>
      <c r="Q20" s="242">
        <v>5500</v>
      </c>
      <c r="R20" s="242">
        <v>6000</v>
      </c>
      <c r="S20" s="242">
        <v>6500</v>
      </c>
      <c r="T20" s="242">
        <v>7000</v>
      </c>
      <c r="U20" s="242">
        <v>7500</v>
      </c>
      <c r="V20" s="242">
        <v>8000</v>
      </c>
      <c r="W20" s="243">
        <v>8500</v>
      </c>
    </row>
    <row r="21" spans="2:23" ht="12.75">
      <c r="B21" s="182" t="s">
        <v>29</v>
      </c>
      <c r="C21" s="184" t="s">
        <v>94</v>
      </c>
      <c r="D21" s="185">
        <v>15</v>
      </c>
      <c r="E21" s="186" t="s">
        <v>1</v>
      </c>
      <c r="F21" s="184">
        <v>36</v>
      </c>
      <c r="G21" s="253">
        <f t="shared" si="1"/>
        <v>2.4</v>
      </c>
      <c r="H21" s="251" t="s">
        <v>77</v>
      </c>
      <c r="I21" s="69"/>
      <c r="J21" s="303">
        <f aca="true" t="shared" si="2" ref="J21:W35">(((J$9/$G21/$L$4)*60)*$L$5)/$L$6</f>
        <v>13.09292521994135</v>
      </c>
      <c r="K21" s="303">
        <f t="shared" si="2"/>
        <v>16.366156524926687</v>
      </c>
      <c r="L21" s="303">
        <f t="shared" si="2"/>
        <v>19.639387829912025</v>
      </c>
      <c r="M21" s="303">
        <f t="shared" si="2"/>
        <v>22.912619134897362</v>
      </c>
      <c r="N21" s="303">
        <f t="shared" si="2"/>
        <v>26.1858504398827</v>
      </c>
      <c r="O21" s="303">
        <f t="shared" si="2"/>
        <v>29.459081744868037</v>
      </c>
      <c r="P21" s="303">
        <f t="shared" si="2"/>
        <v>32.732313049853374</v>
      </c>
      <c r="Q21" s="303">
        <f t="shared" si="2"/>
        <v>36.00554435483871</v>
      </c>
      <c r="R21" s="303">
        <f t="shared" si="2"/>
        <v>39.27877565982405</v>
      </c>
      <c r="S21" s="303">
        <f t="shared" si="2"/>
        <v>42.55200696480938</v>
      </c>
      <c r="T21" s="303">
        <f t="shared" si="2"/>
        <v>45.825238269794724</v>
      </c>
      <c r="U21" s="303">
        <f t="shared" si="2"/>
        <v>49.09846957478006</v>
      </c>
      <c r="V21" s="303">
        <f t="shared" si="2"/>
        <v>52.3717008797654</v>
      </c>
      <c r="W21" s="311">
        <f t="shared" si="2"/>
        <v>55.644932184750736</v>
      </c>
    </row>
    <row r="22" spans="2:23" ht="12.75">
      <c r="B22" s="239" t="s">
        <v>95</v>
      </c>
      <c r="C22" s="187" t="s">
        <v>96</v>
      </c>
      <c r="D22" s="188">
        <v>16</v>
      </c>
      <c r="E22" s="189" t="s">
        <v>1</v>
      </c>
      <c r="F22" s="187">
        <v>35</v>
      </c>
      <c r="G22" s="254">
        <f t="shared" si="1"/>
        <v>2.1875</v>
      </c>
      <c r="H22" s="251" t="s">
        <v>77</v>
      </c>
      <c r="I22" s="69"/>
      <c r="J22" s="303">
        <f t="shared" si="2"/>
        <v>14.364809384164221</v>
      </c>
      <c r="K22" s="303">
        <f t="shared" si="2"/>
        <v>17.95601173020528</v>
      </c>
      <c r="L22" s="303">
        <f t="shared" si="2"/>
        <v>21.54721407624633</v>
      </c>
      <c r="M22" s="303">
        <f t="shared" si="2"/>
        <v>25.13841642228739</v>
      </c>
      <c r="N22" s="303">
        <f t="shared" si="2"/>
        <v>28.729618768328443</v>
      </c>
      <c r="O22" s="303">
        <f t="shared" si="2"/>
        <v>32.3208211143695</v>
      </c>
      <c r="P22" s="303">
        <f t="shared" si="2"/>
        <v>35.91202346041056</v>
      </c>
      <c r="Q22" s="303">
        <f t="shared" si="2"/>
        <v>39.50322580645162</v>
      </c>
      <c r="R22" s="303">
        <f t="shared" si="2"/>
        <v>43.09442815249266</v>
      </c>
      <c r="S22" s="303">
        <f t="shared" si="2"/>
        <v>46.685630498533726</v>
      </c>
      <c r="T22" s="303">
        <f t="shared" si="2"/>
        <v>50.27683284457478</v>
      </c>
      <c r="U22" s="303">
        <f t="shared" si="2"/>
        <v>53.868035190615835</v>
      </c>
      <c r="V22" s="303">
        <f t="shared" si="2"/>
        <v>57.459237536656886</v>
      </c>
      <c r="W22" s="311">
        <f t="shared" si="2"/>
        <v>61.050439882697944</v>
      </c>
    </row>
    <row r="23" spans="2:23" ht="12.75">
      <c r="B23" s="71"/>
      <c r="C23" s="187" t="s">
        <v>97</v>
      </c>
      <c r="D23" s="188">
        <v>17</v>
      </c>
      <c r="E23" s="189" t="s">
        <v>1</v>
      </c>
      <c r="F23" s="187">
        <v>34</v>
      </c>
      <c r="G23" s="254">
        <f t="shared" si="1"/>
        <v>2</v>
      </c>
      <c r="H23" s="251" t="s">
        <v>77</v>
      </c>
      <c r="I23" s="69"/>
      <c r="J23" s="303">
        <f t="shared" si="2"/>
        <v>15.711510263929616</v>
      </c>
      <c r="K23" s="303">
        <f t="shared" si="2"/>
        <v>19.639387829912025</v>
      </c>
      <c r="L23" s="303">
        <f t="shared" si="2"/>
        <v>23.567265395894424</v>
      </c>
      <c r="M23" s="303">
        <f t="shared" si="2"/>
        <v>27.49514296187683</v>
      </c>
      <c r="N23" s="303">
        <f t="shared" si="2"/>
        <v>31.423020527859233</v>
      </c>
      <c r="O23" s="303">
        <f t="shared" si="2"/>
        <v>35.35089809384164</v>
      </c>
      <c r="P23" s="303">
        <f t="shared" si="2"/>
        <v>39.27877565982405</v>
      </c>
      <c r="Q23" s="303">
        <f t="shared" si="2"/>
        <v>43.20665322580645</v>
      </c>
      <c r="R23" s="303">
        <f t="shared" si="2"/>
        <v>47.13453079178885</v>
      </c>
      <c r="S23" s="303">
        <f t="shared" si="2"/>
        <v>51.06240835777126</v>
      </c>
      <c r="T23" s="303">
        <f t="shared" si="2"/>
        <v>54.99028592375366</v>
      </c>
      <c r="U23" s="303">
        <f t="shared" si="2"/>
        <v>58.918163489736074</v>
      </c>
      <c r="V23" s="303">
        <f t="shared" si="2"/>
        <v>62.846041055718466</v>
      </c>
      <c r="W23" s="311">
        <f t="shared" si="2"/>
        <v>66.77391862170087</v>
      </c>
    </row>
    <row r="24" spans="2:23" ht="12.75">
      <c r="B24" s="71"/>
      <c r="C24" s="187" t="s">
        <v>105</v>
      </c>
      <c r="D24" s="188">
        <v>15</v>
      </c>
      <c r="E24" s="189" t="s">
        <v>1</v>
      </c>
      <c r="F24" s="187">
        <v>30</v>
      </c>
      <c r="G24" s="254">
        <f t="shared" si="1"/>
        <v>2</v>
      </c>
      <c r="H24" s="251" t="s">
        <v>77</v>
      </c>
      <c r="I24" s="69"/>
      <c r="J24" s="303">
        <f t="shared" si="2"/>
        <v>15.711510263929616</v>
      </c>
      <c r="K24" s="303">
        <f t="shared" si="2"/>
        <v>19.639387829912025</v>
      </c>
      <c r="L24" s="303">
        <f t="shared" si="2"/>
        <v>23.567265395894424</v>
      </c>
      <c r="M24" s="303">
        <f t="shared" si="2"/>
        <v>27.49514296187683</v>
      </c>
      <c r="N24" s="303">
        <f t="shared" si="2"/>
        <v>31.423020527859233</v>
      </c>
      <c r="O24" s="303">
        <f t="shared" si="2"/>
        <v>35.35089809384164</v>
      </c>
      <c r="P24" s="303">
        <f t="shared" si="2"/>
        <v>39.27877565982405</v>
      </c>
      <c r="Q24" s="303">
        <f t="shared" si="2"/>
        <v>43.20665322580645</v>
      </c>
      <c r="R24" s="303">
        <f t="shared" si="2"/>
        <v>47.13453079178885</v>
      </c>
      <c r="S24" s="303">
        <f t="shared" si="2"/>
        <v>51.06240835777126</v>
      </c>
      <c r="T24" s="303">
        <f t="shared" si="2"/>
        <v>54.99028592375366</v>
      </c>
      <c r="U24" s="303">
        <f t="shared" si="2"/>
        <v>58.918163489736074</v>
      </c>
      <c r="V24" s="303">
        <f t="shared" si="2"/>
        <v>62.846041055718466</v>
      </c>
      <c r="W24" s="311">
        <f t="shared" si="2"/>
        <v>66.77391862170087</v>
      </c>
    </row>
    <row r="25" spans="2:23" ht="12.75">
      <c r="B25" s="71"/>
      <c r="C25" s="176" t="s">
        <v>55</v>
      </c>
      <c r="D25" s="177">
        <v>18</v>
      </c>
      <c r="E25" s="177" t="s">
        <v>1</v>
      </c>
      <c r="F25" s="176">
        <v>34</v>
      </c>
      <c r="G25" s="255">
        <f t="shared" si="1"/>
        <v>1.8888888888888888</v>
      </c>
      <c r="H25" s="252" t="s">
        <v>79</v>
      </c>
      <c r="I25" s="250" t="s">
        <v>110</v>
      </c>
      <c r="J25" s="244">
        <f t="shared" si="2"/>
        <v>16.635716750043123</v>
      </c>
      <c r="K25" s="244">
        <f t="shared" si="2"/>
        <v>20.794645937553906</v>
      </c>
      <c r="L25" s="244">
        <f t="shared" si="2"/>
        <v>24.953575125064688</v>
      </c>
      <c r="M25" s="244">
        <f t="shared" si="2"/>
        <v>29.112504312575467</v>
      </c>
      <c r="N25" s="244">
        <f t="shared" si="2"/>
        <v>33.271433500086246</v>
      </c>
      <c r="O25" s="244">
        <f t="shared" si="2"/>
        <v>37.43036268759704</v>
      </c>
      <c r="P25" s="244">
        <f t="shared" si="2"/>
        <v>41.58929187510781</v>
      </c>
      <c r="Q25" s="244">
        <f t="shared" si="2"/>
        <v>45.74822106261859</v>
      </c>
      <c r="R25" s="244">
        <f t="shared" si="2"/>
        <v>49.907150250129376</v>
      </c>
      <c r="S25" s="244">
        <f t="shared" si="2"/>
        <v>54.06607943764016</v>
      </c>
      <c r="T25" s="244">
        <f t="shared" si="2"/>
        <v>58.225008625150934</v>
      </c>
      <c r="U25" s="244">
        <f t="shared" si="2"/>
        <v>62.38393781266172</v>
      </c>
      <c r="V25" s="244">
        <f t="shared" si="2"/>
        <v>66.54286700017249</v>
      </c>
      <c r="W25" s="245">
        <f t="shared" si="2"/>
        <v>70.70179618768329</v>
      </c>
    </row>
    <row r="26" spans="2:23" ht="12.75">
      <c r="B26" s="71"/>
      <c r="C26" s="187" t="s">
        <v>98</v>
      </c>
      <c r="D26" s="188">
        <v>18</v>
      </c>
      <c r="E26" s="188" t="s">
        <v>1</v>
      </c>
      <c r="F26" s="187">
        <v>34</v>
      </c>
      <c r="G26" s="254">
        <f t="shared" si="1"/>
        <v>1.8888888888888888</v>
      </c>
      <c r="H26" s="251" t="s">
        <v>77</v>
      </c>
      <c r="I26" s="69"/>
      <c r="J26" s="303">
        <f t="shared" si="2"/>
        <v>16.635716750043123</v>
      </c>
      <c r="K26" s="303">
        <f t="shared" si="2"/>
        <v>20.794645937553906</v>
      </c>
      <c r="L26" s="303">
        <f t="shared" si="2"/>
        <v>24.953575125064688</v>
      </c>
      <c r="M26" s="303">
        <f t="shared" si="2"/>
        <v>29.112504312575467</v>
      </c>
      <c r="N26" s="303">
        <f t="shared" si="2"/>
        <v>33.271433500086246</v>
      </c>
      <c r="O26" s="303">
        <f t="shared" si="2"/>
        <v>37.43036268759704</v>
      </c>
      <c r="P26" s="303">
        <f t="shared" si="2"/>
        <v>41.58929187510781</v>
      </c>
      <c r="Q26" s="303">
        <f t="shared" si="2"/>
        <v>45.74822106261859</v>
      </c>
      <c r="R26" s="303">
        <f t="shared" si="2"/>
        <v>49.907150250129376</v>
      </c>
      <c r="S26" s="303">
        <f t="shared" si="2"/>
        <v>54.06607943764016</v>
      </c>
      <c r="T26" s="303">
        <f t="shared" si="2"/>
        <v>58.225008625150934</v>
      </c>
      <c r="U26" s="303">
        <f t="shared" si="2"/>
        <v>62.38393781266172</v>
      </c>
      <c r="V26" s="303">
        <f t="shared" si="2"/>
        <v>66.54286700017249</v>
      </c>
      <c r="W26" s="311">
        <f t="shared" si="2"/>
        <v>70.70179618768329</v>
      </c>
    </row>
    <row r="27" spans="2:23" ht="12.75">
      <c r="B27" s="71"/>
      <c r="C27" s="187" t="s">
        <v>99</v>
      </c>
      <c r="D27" s="188">
        <v>18</v>
      </c>
      <c r="E27" s="189" t="s">
        <v>1</v>
      </c>
      <c r="F27" s="187">
        <v>33</v>
      </c>
      <c r="G27" s="254">
        <f t="shared" si="1"/>
        <v>1.8333333333333333</v>
      </c>
      <c r="H27" s="251" t="s">
        <v>77</v>
      </c>
      <c r="I27" s="69"/>
      <c r="J27" s="303">
        <f t="shared" si="2"/>
        <v>17.13982937883231</v>
      </c>
      <c r="K27" s="303">
        <f t="shared" si="2"/>
        <v>21.42478672354039</v>
      </c>
      <c r="L27" s="303">
        <f t="shared" si="2"/>
        <v>25.709744068248465</v>
      </c>
      <c r="M27" s="303">
        <f t="shared" si="2"/>
        <v>29.994701412956548</v>
      </c>
      <c r="N27" s="303">
        <f t="shared" si="2"/>
        <v>34.27965875766462</v>
      </c>
      <c r="O27" s="303">
        <f t="shared" si="2"/>
        <v>38.564616102372696</v>
      </c>
      <c r="P27" s="303">
        <f t="shared" si="2"/>
        <v>42.84957344708078</v>
      </c>
      <c r="Q27" s="303">
        <f t="shared" si="2"/>
        <v>47.13453079178885</v>
      </c>
      <c r="R27" s="303">
        <f t="shared" si="2"/>
        <v>51.41948813649693</v>
      </c>
      <c r="S27" s="303">
        <f t="shared" si="2"/>
        <v>55.704445481205006</v>
      </c>
      <c r="T27" s="303">
        <f t="shared" si="2"/>
        <v>59.989402825913096</v>
      </c>
      <c r="U27" s="303">
        <f t="shared" si="2"/>
        <v>64.27436017062116</v>
      </c>
      <c r="V27" s="303">
        <f t="shared" si="2"/>
        <v>68.55931751532924</v>
      </c>
      <c r="W27" s="311">
        <f t="shared" si="2"/>
        <v>72.84427486003732</v>
      </c>
    </row>
    <row r="28" spans="2:23" ht="12.75">
      <c r="B28" s="71"/>
      <c r="C28" s="187" t="s">
        <v>100</v>
      </c>
      <c r="D28" s="188">
        <v>16</v>
      </c>
      <c r="E28" s="189" t="s">
        <v>1</v>
      </c>
      <c r="F28" s="187">
        <v>29</v>
      </c>
      <c r="G28" s="254">
        <f t="shared" si="1"/>
        <v>1.8125</v>
      </c>
      <c r="H28" s="251" t="s">
        <v>77</v>
      </c>
      <c r="I28" s="69"/>
      <c r="J28" s="303">
        <f t="shared" si="2"/>
        <v>17.33683891192234</v>
      </c>
      <c r="K28" s="303">
        <f t="shared" si="2"/>
        <v>21.671048639902924</v>
      </c>
      <c r="L28" s="303">
        <f t="shared" si="2"/>
        <v>26.00525836788351</v>
      </c>
      <c r="M28" s="303">
        <f t="shared" si="2"/>
        <v>30.33946809586409</v>
      </c>
      <c r="N28" s="303">
        <f t="shared" si="2"/>
        <v>34.67367782384468</v>
      </c>
      <c r="O28" s="303">
        <f t="shared" si="2"/>
        <v>39.00788755182526</v>
      </c>
      <c r="P28" s="303">
        <f t="shared" si="2"/>
        <v>43.34209727980585</v>
      </c>
      <c r="Q28" s="303">
        <f t="shared" si="2"/>
        <v>47.67630700778643</v>
      </c>
      <c r="R28" s="303">
        <f t="shared" si="2"/>
        <v>52.01051673576702</v>
      </c>
      <c r="S28" s="303">
        <f t="shared" si="2"/>
        <v>56.34472646374759</v>
      </c>
      <c r="T28" s="303">
        <f t="shared" si="2"/>
        <v>60.67893619172818</v>
      </c>
      <c r="U28" s="303">
        <f t="shared" si="2"/>
        <v>65.01314591970876</v>
      </c>
      <c r="V28" s="303">
        <f t="shared" si="2"/>
        <v>69.34735564768935</v>
      </c>
      <c r="W28" s="311">
        <f t="shared" si="2"/>
        <v>73.68156537566993</v>
      </c>
    </row>
    <row r="29" spans="2:23" ht="12.75">
      <c r="B29" s="71"/>
      <c r="C29" s="178" t="s">
        <v>56</v>
      </c>
      <c r="D29" s="179">
        <v>18</v>
      </c>
      <c r="E29" s="179"/>
      <c r="F29" s="178">
        <v>32</v>
      </c>
      <c r="G29" s="256">
        <f t="shared" si="1"/>
        <v>1.7777777777777777</v>
      </c>
      <c r="H29" s="252" t="s">
        <v>79</v>
      </c>
      <c r="I29" s="69"/>
      <c r="J29" s="303">
        <f t="shared" si="2"/>
        <v>17.67544904692082</v>
      </c>
      <c r="K29" s="303">
        <f t="shared" si="2"/>
        <v>22.094311308651026</v>
      </c>
      <c r="L29" s="303">
        <f t="shared" si="2"/>
        <v>26.513173570381227</v>
      </c>
      <c r="M29" s="303">
        <f t="shared" si="2"/>
        <v>30.93203583211143</v>
      </c>
      <c r="N29" s="303">
        <f t="shared" si="2"/>
        <v>35.35089809384164</v>
      </c>
      <c r="O29" s="303">
        <f t="shared" si="2"/>
        <v>39.76976035557184</v>
      </c>
      <c r="P29" s="303">
        <f t="shared" si="2"/>
        <v>44.18862261730205</v>
      </c>
      <c r="Q29" s="303">
        <f t="shared" si="2"/>
        <v>48.607484879032256</v>
      </c>
      <c r="R29" s="303">
        <f t="shared" si="2"/>
        <v>53.026347140762454</v>
      </c>
      <c r="S29" s="303">
        <f t="shared" si="2"/>
        <v>57.445209402492665</v>
      </c>
      <c r="T29" s="303">
        <f t="shared" si="2"/>
        <v>61.86407166422286</v>
      </c>
      <c r="U29" s="303">
        <f t="shared" si="2"/>
        <v>66.28293392595307</v>
      </c>
      <c r="V29" s="303">
        <f t="shared" si="2"/>
        <v>70.70179618768329</v>
      </c>
      <c r="W29" s="311">
        <f t="shared" si="2"/>
        <v>75.12065844941348</v>
      </c>
    </row>
    <row r="30" spans="2:23" ht="12.75">
      <c r="B30" s="71"/>
      <c r="C30" s="187" t="s">
        <v>93</v>
      </c>
      <c r="D30" s="188">
        <v>18</v>
      </c>
      <c r="E30" s="188"/>
      <c r="F30" s="187">
        <v>32</v>
      </c>
      <c r="G30" s="254">
        <f t="shared" si="1"/>
        <v>1.7777777777777777</v>
      </c>
      <c r="H30" s="251" t="s">
        <v>77</v>
      </c>
      <c r="I30" s="69"/>
      <c r="J30" s="303">
        <f t="shared" si="2"/>
        <v>17.67544904692082</v>
      </c>
      <c r="K30" s="303">
        <f t="shared" si="2"/>
        <v>22.094311308651026</v>
      </c>
      <c r="L30" s="303">
        <f t="shared" si="2"/>
        <v>26.513173570381227</v>
      </c>
      <c r="M30" s="303">
        <f t="shared" si="2"/>
        <v>30.93203583211143</v>
      </c>
      <c r="N30" s="303">
        <f t="shared" si="2"/>
        <v>35.35089809384164</v>
      </c>
      <c r="O30" s="303">
        <f t="shared" si="2"/>
        <v>39.76976035557184</v>
      </c>
      <c r="P30" s="303">
        <f t="shared" si="2"/>
        <v>44.18862261730205</v>
      </c>
      <c r="Q30" s="303">
        <f t="shared" si="2"/>
        <v>48.607484879032256</v>
      </c>
      <c r="R30" s="303">
        <f t="shared" si="2"/>
        <v>53.026347140762454</v>
      </c>
      <c r="S30" s="303">
        <f t="shared" si="2"/>
        <v>57.445209402492665</v>
      </c>
      <c r="T30" s="303">
        <f t="shared" si="2"/>
        <v>61.86407166422286</v>
      </c>
      <c r="U30" s="303">
        <f t="shared" si="2"/>
        <v>66.28293392595307</v>
      </c>
      <c r="V30" s="303">
        <f t="shared" si="2"/>
        <v>70.70179618768329</v>
      </c>
      <c r="W30" s="311">
        <f t="shared" si="2"/>
        <v>75.12065844941348</v>
      </c>
    </row>
    <row r="31" spans="2:23" ht="12.75">
      <c r="B31" s="71"/>
      <c r="C31" s="176" t="s">
        <v>78</v>
      </c>
      <c r="D31" s="177">
        <v>17</v>
      </c>
      <c r="E31" s="177" t="s">
        <v>1</v>
      </c>
      <c r="F31" s="176">
        <v>30</v>
      </c>
      <c r="G31" s="255">
        <f t="shared" si="1"/>
        <v>1.7647058823529411</v>
      </c>
      <c r="H31" s="252" t="s">
        <v>79</v>
      </c>
      <c r="I31" s="69"/>
      <c r="J31" s="303">
        <f t="shared" si="2"/>
        <v>17.806378299120233</v>
      </c>
      <c r="K31" s="303">
        <f t="shared" si="2"/>
        <v>22.25797287390029</v>
      </c>
      <c r="L31" s="303">
        <f t="shared" si="2"/>
        <v>26.709567448680353</v>
      </c>
      <c r="M31" s="303">
        <f t="shared" si="2"/>
        <v>31.16116202346041</v>
      </c>
      <c r="N31" s="303">
        <f t="shared" si="2"/>
        <v>35.612756598240466</v>
      </c>
      <c r="O31" s="303">
        <f t="shared" si="2"/>
        <v>40.064351173020526</v>
      </c>
      <c r="P31" s="303">
        <f t="shared" si="2"/>
        <v>44.51594574780058</v>
      </c>
      <c r="Q31" s="303">
        <f t="shared" si="2"/>
        <v>48.96754032258064</v>
      </c>
      <c r="R31" s="303">
        <f t="shared" si="2"/>
        <v>53.419134897360706</v>
      </c>
      <c r="S31" s="303">
        <f t="shared" si="2"/>
        <v>57.870729472140766</v>
      </c>
      <c r="T31" s="303">
        <f t="shared" si="2"/>
        <v>62.32232404692082</v>
      </c>
      <c r="U31" s="303">
        <f t="shared" si="2"/>
        <v>66.77391862170087</v>
      </c>
      <c r="V31" s="303">
        <f t="shared" si="2"/>
        <v>71.22551319648093</v>
      </c>
      <c r="W31" s="311">
        <f t="shared" si="2"/>
        <v>75.677107771261</v>
      </c>
    </row>
    <row r="32" spans="2:23" ht="12.75">
      <c r="B32" s="71"/>
      <c r="C32" s="187" t="s">
        <v>101</v>
      </c>
      <c r="D32" s="188">
        <v>17</v>
      </c>
      <c r="E32" s="189" t="s">
        <v>1</v>
      </c>
      <c r="F32" s="190">
        <v>29</v>
      </c>
      <c r="G32" s="257">
        <f t="shared" si="1"/>
        <v>1.7058823529411764</v>
      </c>
      <c r="H32" s="251" t="s">
        <v>77</v>
      </c>
      <c r="I32" s="69"/>
      <c r="J32" s="303">
        <f t="shared" si="2"/>
        <v>18.420391343917483</v>
      </c>
      <c r="K32" s="303">
        <f t="shared" si="2"/>
        <v>23.025489179896855</v>
      </c>
      <c r="L32" s="303">
        <f t="shared" si="2"/>
        <v>27.630587015876223</v>
      </c>
      <c r="M32" s="303">
        <f t="shared" si="2"/>
        <v>32.235684851855595</v>
      </c>
      <c r="N32" s="303">
        <f t="shared" si="2"/>
        <v>36.84078268783497</v>
      </c>
      <c r="O32" s="303">
        <f t="shared" si="2"/>
        <v>41.44588052381433</v>
      </c>
      <c r="P32" s="303">
        <f t="shared" si="2"/>
        <v>46.05097835979371</v>
      </c>
      <c r="Q32" s="303">
        <f t="shared" si="2"/>
        <v>50.65607619577308</v>
      </c>
      <c r="R32" s="303">
        <f t="shared" si="2"/>
        <v>55.26117403175245</v>
      </c>
      <c r="S32" s="303">
        <f t="shared" si="2"/>
        <v>59.86627186773182</v>
      </c>
      <c r="T32" s="303">
        <f t="shared" si="2"/>
        <v>64.47136970371119</v>
      </c>
      <c r="U32" s="303">
        <f t="shared" si="2"/>
        <v>69.07646753969057</v>
      </c>
      <c r="V32" s="303">
        <f t="shared" si="2"/>
        <v>73.68156537566993</v>
      </c>
      <c r="W32" s="311">
        <f t="shared" si="2"/>
        <v>78.28666321164931</v>
      </c>
    </row>
    <row r="33" spans="2:23" ht="12.75">
      <c r="B33" s="65"/>
      <c r="C33" s="187" t="s">
        <v>102</v>
      </c>
      <c r="D33" s="188">
        <v>19</v>
      </c>
      <c r="E33" s="189" t="s">
        <v>1</v>
      </c>
      <c r="F33" s="187">
        <v>32</v>
      </c>
      <c r="G33" s="254">
        <f>F33/D33</f>
        <v>1.6842105263157894</v>
      </c>
      <c r="H33" s="251" t="s">
        <v>77</v>
      </c>
      <c r="I33" s="69"/>
      <c r="J33" s="303">
        <f t="shared" si="2"/>
        <v>18.65741843841642</v>
      </c>
      <c r="K33" s="303">
        <f t="shared" si="2"/>
        <v>23.32177304802053</v>
      </c>
      <c r="L33" s="303">
        <f t="shared" si="2"/>
        <v>27.986127657624632</v>
      </c>
      <c r="M33" s="303">
        <f t="shared" si="2"/>
        <v>32.65048226722874</v>
      </c>
      <c r="N33" s="303">
        <f t="shared" si="2"/>
        <v>37.31483687683284</v>
      </c>
      <c r="O33" s="303">
        <f t="shared" si="2"/>
        <v>41.979191486436946</v>
      </c>
      <c r="P33" s="303">
        <f t="shared" si="2"/>
        <v>46.64354609604106</v>
      </c>
      <c r="Q33" s="303">
        <f t="shared" si="2"/>
        <v>51.30790070564516</v>
      </c>
      <c r="R33" s="303">
        <f t="shared" si="2"/>
        <v>55.972255315249264</v>
      </c>
      <c r="S33" s="303">
        <f t="shared" si="2"/>
        <v>60.63660992485336</v>
      </c>
      <c r="T33" s="303">
        <f t="shared" si="2"/>
        <v>65.30096453445748</v>
      </c>
      <c r="U33" s="303">
        <f t="shared" si="2"/>
        <v>69.96531914406157</v>
      </c>
      <c r="V33" s="303">
        <f t="shared" si="2"/>
        <v>74.62967375366568</v>
      </c>
      <c r="W33" s="311">
        <f t="shared" si="2"/>
        <v>79.29402836326979</v>
      </c>
    </row>
    <row r="34" spans="2:23" ht="12.75">
      <c r="B34" s="65"/>
      <c r="C34" s="187" t="s">
        <v>103</v>
      </c>
      <c r="D34" s="188">
        <v>20</v>
      </c>
      <c r="E34" s="189" t="s">
        <v>1</v>
      </c>
      <c r="F34" s="187">
        <v>32</v>
      </c>
      <c r="G34" s="254">
        <f>F34/D34</f>
        <v>1.6</v>
      </c>
      <c r="H34" s="251" t="s">
        <v>77</v>
      </c>
      <c r="I34" s="69"/>
      <c r="J34" s="303">
        <f t="shared" si="2"/>
        <v>19.639387829912025</v>
      </c>
      <c r="K34" s="303">
        <f t="shared" si="2"/>
        <v>24.54923478739003</v>
      </c>
      <c r="L34" s="303">
        <f t="shared" si="2"/>
        <v>29.459081744868037</v>
      </c>
      <c r="M34" s="303">
        <f t="shared" si="2"/>
        <v>34.36892870234605</v>
      </c>
      <c r="N34" s="303">
        <f t="shared" si="2"/>
        <v>39.27877565982405</v>
      </c>
      <c r="O34" s="303">
        <f t="shared" si="2"/>
        <v>44.18862261730205</v>
      </c>
      <c r="P34" s="303">
        <f t="shared" si="2"/>
        <v>49.09846957478006</v>
      </c>
      <c r="Q34" s="303">
        <f t="shared" si="2"/>
        <v>54.00831653225806</v>
      </c>
      <c r="R34" s="303">
        <f t="shared" si="2"/>
        <v>58.918163489736074</v>
      </c>
      <c r="S34" s="303">
        <f t="shared" si="2"/>
        <v>63.82801044721407</v>
      </c>
      <c r="T34" s="303">
        <f t="shared" si="2"/>
        <v>68.7378574046921</v>
      </c>
      <c r="U34" s="303">
        <f t="shared" si="2"/>
        <v>73.64770436217007</v>
      </c>
      <c r="V34" s="303">
        <f t="shared" si="2"/>
        <v>78.5575513196481</v>
      </c>
      <c r="W34" s="311">
        <f t="shared" si="2"/>
        <v>83.4673982771261</v>
      </c>
    </row>
    <row r="35" spans="2:23" ht="12.75">
      <c r="B35" s="65"/>
      <c r="C35" s="191" t="s">
        <v>104</v>
      </c>
      <c r="D35" s="192">
        <v>20</v>
      </c>
      <c r="E35" s="193" t="s">
        <v>1</v>
      </c>
      <c r="F35" s="191">
        <v>31</v>
      </c>
      <c r="G35" s="258">
        <f>F35/D35</f>
        <v>1.55</v>
      </c>
      <c r="H35" s="251" t="s">
        <v>77</v>
      </c>
      <c r="I35" s="69"/>
      <c r="J35" s="303">
        <f t="shared" si="2"/>
        <v>20.2729164695866</v>
      </c>
      <c r="K35" s="303">
        <f t="shared" si="2"/>
        <v>25.341145586983252</v>
      </c>
      <c r="L35" s="303">
        <f t="shared" si="2"/>
        <v>30.409374704379907</v>
      </c>
      <c r="M35" s="303">
        <f t="shared" si="2"/>
        <v>35.477603821776555</v>
      </c>
      <c r="N35" s="303">
        <f t="shared" si="2"/>
        <v>40.5458329391732</v>
      </c>
      <c r="O35" s="303">
        <f t="shared" si="2"/>
        <v>45.61406205656986</v>
      </c>
      <c r="P35" s="303">
        <f t="shared" si="2"/>
        <v>50.682291173966505</v>
      </c>
      <c r="Q35" s="303">
        <f t="shared" si="2"/>
        <v>55.75052029136316</v>
      </c>
      <c r="R35" s="303">
        <f t="shared" si="2"/>
        <v>60.818749408759814</v>
      </c>
      <c r="S35" s="303">
        <f t="shared" si="2"/>
        <v>65.88697852615645</v>
      </c>
      <c r="T35" s="303">
        <f t="shared" si="2"/>
        <v>70.95520764355311</v>
      </c>
      <c r="U35" s="303">
        <f t="shared" si="2"/>
        <v>76.02343676094976</v>
      </c>
      <c r="V35" s="303">
        <f t="shared" si="2"/>
        <v>81.0916658783464</v>
      </c>
      <c r="W35" s="311">
        <f t="shared" si="2"/>
        <v>86.15989499574306</v>
      </c>
    </row>
    <row r="36" spans="2:23" ht="12.75">
      <c r="B36" s="65"/>
      <c r="C36" s="67"/>
      <c r="D36" s="68"/>
      <c r="E36" s="68"/>
      <c r="F36" s="67"/>
      <c r="G36" s="263"/>
      <c r="H36" s="68"/>
      <c r="I36" s="69"/>
      <c r="J36" s="242">
        <v>2000</v>
      </c>
      <c r="K36" s="242">
        <v>2500</v>
      </c>
      <c r="L36" s="242">
        <v>3000</v>
      </c>
      <c r="M36" s="242">
        <v>3500</v>
      </c>
      <c r="N36" s="242">
        <v>4000</v>
      </c>
      <c r="O36" s="242">
        <v>4500</v>
      </c>
      <c r="P36" s="242">
        <v>5000</v>
      </c>
      <c r="Q36" s="242">
        <v>5500</v>
      </c>
      <c r="R36" s="242">
        <v>6000</v>
      </c>
      <c r="S36" s="242">
        <v>6500</v>
      </c>
      <c r="T36" s="242">
        <v>7000</v>
      </c>
      <c r="U36" s="242">
        <v>7500</v>
      </c>
      <c r="V36" s="242">
        <v>8000</v>
      </c>
      <c r="W36" s="243">
        <v>8500</v>
      </c>
    </row>
    <row r="37" spans="2:23" ht="12.75">
      <c r="B37" s="181" t="s">
        <v>30</v>
      </c>
      <c r="C37" s="166" t="s">
        <v>31</v>
      </c>
      <c r="D37" s="167">
        <v>19</v>
      </c>
      <c r="E37" s="167" t="s">
        <v>1</v>
      </c>
      <c r="F37" s="166">
        <v>32</v>
      </c>
      <c r="G37" s="264">
        <f aca="true" t="shared" si="3" ref="G37:G50">F37/D37</f>
        <v>1.6842105263157894</v>
      </c>
      <c r="H37" s="68"/>
      <c r="I37" s="69"/>
      <c r="J37" s="303">
        <f aca="true" t="shared" si="4" ref="J37:W50">(((J$9/$G37/$L$4)*60)*$L$5)/$L$6</f>
        <v>18.65741843841642</v>
      </c>
      <c r="K37" s="303">
        <f t="shared" si="4"/>
        <v>23.32177304802053</v>
      </c>
      <c r="L37" s="303">
        <f t="shared" si="4"/>
        <v>27.986127657624632</v>
      </c>
      <c r="M37" s="303">
        <f t="shared" si="4"/>
        <v>32.65048226722874</v>
      </c>
      <c r="N37" s="303">
        <f t="shared" si="4"/>
        <v>37.31483687683284</v>
      </c>
      <c r="O37" s="303">
        <f t="shared" si="4"/>
        <v>41.979191486436946</v>
      </c>
      <c r="P37" s="303">
        <f t="shared" si="4"/>
        <v>46.64354609604106</v>
      </c>
      <c r="Q37" s="303">
        <f t="shared" si="4"/>
        <v>51.30790070564516</v>
      </c>
      <c r="R37" s="303">
        <f t="shared" si="4"/>
        <v>55.972255315249264</v>
      </c>
      <c r="S37" s="303">
        <f t="shared" si="4"/>
        <v>60.63660992485336</v>
      </c>
      <c r="T37" s="303">
        <f t="shared" si="4"/>
        <v>65.30096453445748</v>
      </c>
      <c r="U37" s="303">
        <f t="shared" si="4"/>
        <v>69.96531914406157</v>
      </c>
      <c r="V37" s="303">
        <f t="shared" si="4"/>
        <v>74.62967375366568</v>
      </c>
      <c r="W37" s="311">
        <f t="shared" si="4"/>
        <v>79.29402836326979</v>
      </c>
    </row>
    <row r="38" spans="2:23" ht="12.75">
      <c r="B38" s="65"/>
      <c r="C38" s="168" t="s">
        <v>82</v>
      </c>
      <c r="D38" s="169">
        <v>19</v>
      </c>
      <c r="E38" s="169" t="s">
        <v>1</v>
      </c>
      <c r="F38" s="168">
        <v>31</v>
      </c>
      <c r="G38" s="265">
        <f t="shared" si="3"/>
        <v>1.631578947368421</v>
      </c>
      <c r="H38" s="68"/>
      <c r="I38" s="69"/>
      <c r="J38" s="303">
        <f t="shared" si="4"/>
        <v>19.259270646107275</v>
      </c>
      <c r="K38" s="303">
        <f t="shared" si="4"/>
        <v>24.074088307634092</v>
      </c>
      <c r="L38" s="303">
        <f t="shared" si="4"/>
        <v>28.88890596916091</v>
      </c>
      <c r="M38" s="303">
        <f t="shared" si="4"/>
        <v>33.703723630687726</v>
      </c>
      <c r="N38" s="303">
        <f t="shared" si="4"/>
        <v>38.51854129221455</v>
      </c>
      <c r="O38" s="303">
        <f t="shared" si="4"/>
        <v>43.33335895374137</v>
      </c>
      <c r="P38" s="303">
        <f t="shared" si="4"/>
        <v>48.148176615268184</v>
      </c>
      <c r="Q38" s="303">
        <f t="shared" si="4"/>
        <v>52.962994276795</v>
      </c>
      <c r="R38" s="303">
        <f t="shared" si="4"/>
        <v>57.77781193832182</v>
      </c>
      <c r="S38" s="303">
        <f t="shared" si="4"/>
        <v>62.59262959984865</v>
      </c>
      <c r="T38" s="303">
        <f t="shared" si="4"/>
        <v>67.40744726137545</v>
      </c>
      <c r="U38" s="303">
        <f t="shared" si="4"/>
        <v>72.22226492290227</v>
      </c>
      <c r="V38" s="303">
        <f t="shared" si="4"/>
        <v>77.0370825844291</v>
      </c>
      <c r="W38" s="311">
        <f t="shared" si="4"/>
        <v>81.8519002459559</v>
      </c>
    </row>
    <row r="39" spans="2:23" ht="12.75">
      <c r="B39" s="65"/>
      <c r="C39" s="168" t="s">
        <v>32</v>
      </c>
      <c r="D39" s="169">
        <v>20</v>
      </c>
      <c r="E39" s="169" t="s">
        <v>1</v>
      </c>
      <c r="F39" s="168">
        <v>31</v>
      </c>
      <c r="G39" s="265">
        <f t="shared" si="3"/>
        <v>1.55</v>
      </c>
      <c r="H39" s="68"/>
      <c r="I39" s="69"/>
      <c r="J39" s="303">
        <f t="shared" si="4"/>
        <v>20.2729164695866</v>
      </c>
      <c r="K39" s="303">
        <f t="shared" si="4"/>
        <v>25.341145586983252</v>
      </c>
      <c r="L39" s="303">
        <f t="shared" si="4"/>
        <v>30.409374704379907</v>
      </c>
      <c r="M39" s="303">
        <f t="shared" si="4"/>
        <v>35.477603821776555</v>
      </c>
      <c r="N39" s="303">
        <f t="shared" si="4"/>
        <v>40.5458329391732</v>
      </c>
      <c r="O39" s="303">
        <f t="shared" si="4"/>
        <v>45.61406205656986</v>
      </c>
      <c r="P39" s="303">
        <f t="shared" si="4"/>
        <v>50.682291173966505</v>
      </c>
      <c r="Q39" s="303">
        <f t="shared" si="4"/>
        <v>55.75052029136316</v>
      </c>
      <c r="R39" s="303">
        <f t="shared" si="4"/>
        <v>60.818749408759814</v>
      </c>
      <c r="S39" s="303">
        <f t="shared" si="4"/>
        <v>65.88697852615645</v>
      </c>
      <c r="T39" s="303">
        <f t="shared" si="4"/>
        <v>70.95520764355311</v>
      </c>
      <c r="U39" s="303">
        <f t="shared" si="4"/>
        <v>76.02343676094976</v>
      </c>
      <c r="V39" s="303">
        <f t="shared" si="4"/>
        <v>81.0916658783464</v>
      </c>
      <c r="W39" s="311">
        <f t="shared" si="4"/>
        <v>86.15989499574306</v>
      </c>
    </row>
    <row r="40" spans="2:23" ht="12.75">
      <c r="B40" s="65"/>
      <c r="C40" s="168" t="s">
        <v>33</v>
      </c>
      <c r="D40" s="169">
        <v>21</v>
      </c>
      <c r="E40" s="169" t="s">
        <v>1</v>
      </c>
      <c r="F40" s="168">
        <v>31</v>
      </c>
      <c r="G40" s="265">
        <f t="shared" si="3"/>
        <v>1.4761904761904763</v>
      </c>
      <c r="H40" s="68"/>
      <c r="I40" s="69"/>
      <c r="J40" s="303">
        <f t="shared" si="4"/>
        <v>21.28656229306593</v>
      </c>
      <c r="K40" s="303">
        <f t="shared" si="4"/>
        <v>26.608202866332416</v>
      </c>
      <c r="L40" s="303">
        <f t="shared" si="4"/>
        <v>31.9298434395989</v>
      </c>
      <c r="M40" s="303">
        <f t="shared" si="4"/>
        <v>37.251484012865376</v>
      </c>
      <c r="N40" s="303">
        <f t="shared" si="4"/>
        <v>42.57312458613186</v>
      </c>
      <c r="O40" s="303">
        <f t="shared" si="4"/>
        <v>47.89476515939834</v>
      </c>
      <c r="P40" s="303">
        <f t="shared" si="4"/>
        <v>53.21640573266483</v>
      </c>
      <c r="Q40" s="303">
        <f t="shared" si="4"/>
        <v>58.53804630593132</v>
      </c>
      <c r="R40" s="303">
        <f t="shared" si="4"/>
        <v>63.8596868791978</v>
      </c>
      <c r="S40" s="303">
        <f t="shared" si="4"/>
        <v>69.18132745246427</v>
      </c>
      <c r="T40" s="303">
        <f t="shared" si="4"/>
        <v>74.50296802573075</v>
      </c>
      <c r="U40" s="303">
        <f t="shared" si="4"/>
        <v>79.82460859899724</v>
      </c>
      <c r="V40" s="303">
        <f t="shared" si="4"/>
        <v>85.14624917226372</v>
      </c>
      <c r="W40" s="311">
        <f t="shared" si="4"/>
        <v>90.46788974553021</v>
      </c>
    </row>
    <row r="41" spans="2:23" ht="12.75">
      <c r="B41" s="65"/>
      <c r="C41" s="168" t="s">
        <v>34</v>
      </c>
      <c r="D41" s="169">
        <v>21</v>
      </c>
      <c r="E41" s="169" t="s">
        <v>1</v>
      </c>
      <c r="F41" s="168">
        <v>30</v>
      </c>
      <c r="G41" s="265">
        <f t="shared" si="3"/>
        <v>1.4285714285714286</v>
      </c>
      <c r="H41" s="68"/>
      <c r="I41" s="69"/>
      <c r="J41" s="303">
        <f t="shared" si="4"/>
        <v>21.996114369501466</v>
      </c>
      <c r="K41" s="303">
        <f t="shared" si="4"/>
        <v>27.49514296187683</v>
      </c>
      <c r="L41" s="303">
        <f t="shared" si="4"/>
        <v>32.9941715542522</v>
      </c>
      <c r="M41" s="303">
        <f t="shared" si="4"/>
        <v>38.493200146627565</v>
      </c>
      <c r="N41" s="303">
        <f t="shared" si="4"/>
        <v>43.99222873900293</v>
      </c>
      <c r="O41" s="303">
        <f t="shared" si="4"/>
        <v>49.49125733137829</v>
      </c>
      <c r="P41" s="303">
        <f t="shared" si="4"/>
        <v>54.99028592375366</v>
      </c>
      <c r="Q41" s="303">
        <f t="shared" si="4"/>
        <v>60.48931451612903</v>
      </c>
      <c r="R41" s="303">
        <f t="shared" si="4"/>
        <v>65.9883431085044</v>
      </c>
      <c r="S41" s="303">
        <f t="shared" si="4"/>
        <v>71.48737170087975</v>
      </c>
      <c r="T41" s="303">
        <f t="shared" si="4"/>
        <v>76.98640029325513</v>
      </c>
      <c r="U41" s="303">
        <f t="shared" si="4"/>
        <v>82.4854288856305</v>
      </c>
      <c r="V41" s="303">
        <f t="shared" si="4"/>
        <v>87.98445747800587</v>
      </c>
      <c r="W41" s="311">
        <f t="shared" si="4"/>
        <v>93.48348607038123</v>
      </c>
    </row>
    <row r="42" spans="2:23" ht="12.75">
      <c r="B42" s="65"/>
      <c r="C42" s="272" t="s">
        <v>58</v>
      </c>
      <c r="D42" s="175">
        <v>22</v>
      </c>
      <c r="E42" s="175" t="s">
        <v>1</v>
      </c>
      <c r="F42" s="174">
        <v>31</v>
      </c>
      <c r="G42" s="268">
        <f t="shared" si="3"/>
        <v>1.4090909090909092</v>
      </c>
      <c r="H42" s="304" t="s">
        <v>118</v>
      </c>
      <c r="I42" s="69"/>
      <c r="J42" s="303">
        <f t="shared" si="4"/>
        <v>22.300208116545264</v>
      </c>
      <c r="K42" s="303">
        <f t="shared" si="4"/>
        <v>27.875260145681576</v>
      </c>
      <c r="L42" s="303">
        <f t="shared" si="4"/>
        <v>33.450312174817896</v>
      </c>
      <c r="M42" s="303">
        <f t="shared" si="4"/>
        <v>39.025364203954204</v>
      </c>
      <c r="N42" s="303">
        <f t="shared" si="4"/>
        <v>44.60041623309053</v>
      </c>
      <c r="O42" s="303">
        <f t="shared" si="4"/>
        <v>50.175468262226836</v>
      </c>
      <c r="P42" s="303">
        <f t="shared" si="4"/>
        <v>55.75052029136315</v>
      </c>
      <c r="Q42" s="303">
        <f t="shared" si="4"/>
        <v>61.325572320499475</v>
      </c>
      <c r="R42" s="303">
        <f t="shared" si="4"/>
        <v>66.90062434963579</v>
      </c>
      <c r="S42" s="303">
        <f t="shared" si="4"/>
        <v>72.4756763787721</v>
      </c>
      <c r="T42" s="303">
        <f t="shared" si="4"/>
        <v>78.05072840790841</v>
      </c>
      <c r="U42" s="303">
        <f t="shared" si="4"/>
        <v>83.62578043704474</v>
      </c>
      <c r="V42" s="303">
        <f t="shared" si="4"/>
        <v>89.20083246618105</v>
      </c>
      <c r="W42" s="311">
        <f t="shared" si="4"/>
        <v>94.77588449531738</v>
      </c>
    </row>
    <row r="43" spans="2:23" ht="12.75">
      <c r="B43" s="65"/>
      <c r="C43" s="168" t="s">
        <v>35</v>
      </c>
      <c r="D43" s="169">
        <v>22</v>
      </c>
      <c r="E43" s="169" t="s">
        <v>1</v>
      </c>
      <c r="F43" s="168">
        <v>30</v>
      </c>
      <c r="G43" s="265">
        <f t="shared" si="3"/>
        <v>1.3636363636363635</v>
      </c>
      <c r="H43" s="80"/>
      <c r="I43" s="69"/>
      <c r="J43" s="303">
        <f t="shared" si="4"/>
        <v>23.043548387096774</v>
      </c>
      <c r="K43" s="303">
        <f t="shared" si="4"/>
        <v>28.804435483870968</v>
      </c>
      <c r="L43" s="303">
        <f t="shared" si="4"/>
        <v>34.56532258064516</v>
      </c>
      <c r="M43" s="303">
        <f t="shared" si="4"/>
        <v>40.32620967741935</v>
      </c>
      <c r="N43" s="303">
        <f t="shared" si="4"/>
        <v>46.08709677419355</v>
      </c>
      <c r="O43" s="303">
        <f t="shared" si="4"/>
        <v>51.847983870967745</v>
      </c>
      <c r="P43" s="303">
        <f t="shared" si="4"/>
        <v>57.608870967741936</v>
      </c>
      <c r="Q43" s="303">
        <f t="shared" si="4"/>
        <v>63.369758064516134</v>
      </c>
      <c r="R43" s="303">
        <f t="shared" si="4"/>
        <v>69.13064516129032</v>
      </c>
      <c r="S43" s="303">
        <f t="shared" si="4"/>
        <v>74.89153225806452</v>
      </c>
      <c r="T43" s="303">
        <f t="shared" si="4"/>
        <v>80.6524193548387</v>
      </c>
      <c r="U43" s="303">
        <f t="shared" si="4"/>
        <v>86.4133064516129</v>
      </c>
      <c r="V43" s="303">
        <f t="shared" si="4"/>
        <v>92.1741935483871</v>
      </c>
      <c r="W43" s="311">
        <f t="shared" si="4"/>
        <v>97.93508064516128</v>
      </c>
    </row>
    <row r="44" spans="2:23" ht="12.75">
      <c r="B44" s="65"/>
      <c r="C44" s="168" t="s">
        <v>36</v>
      </c>
      <c r="D44" s="169">
        <v>22</v>
      </c>
      <c r="E44" s="169" t="s">
        <v>1</v>
      </c>
      <c r="F44" s="168">
        <v>29</v>
      </c>
      <c r="G44" s="265">
        <f t="shared" si="3"/>
        <v>1.3181818181818181</v>
      </c>
      <c r="H44" s="80"/>
      <c r="I44" s="69"/>
      <c r="J44" s="303">
        <f t="shared" si="4"/>
        <v>23.838153503893214</v>
      </c>
      <c r="K44" s="303">
        <f t="shared" si="4"/>
        <v>29.79769187986652</v>
      </c>
      <c r="L44" s="303">
        <f t="shared" si="4"/>
        <v>35.75723025583982</v>
      </c>
      <c r="M44" s="303">
        <f t="shared" si="4"/>
        <v>41.716768631813125</v>
      </c>
      <c r="N44" s="303">
        <f t="shared" si="4"/>
        <v>47.67630700778643</v>
      </c>
      <c r="O44" s="303">
        <f t="shared" si="4"/>
        <v>53.63584538375974</v>
      </c>
      <c r="P44" s="303">
        <f t="shared" si="4"/>
        <v>59.59538375973304</v>
      </c>
      <c r="Q44" s="303">
        <f t="shared" si="4"/>
        <v>65.55492213570633</v>
      </c>
      <c r="R44" s="303">
        <f t="shared" si="4"/>
        <v>71.51446051167964</v>
      </c>
      <c r="S44" s="303">
        <f t="shared" si="4"/>
        <v>77.47399888765293</v>
      </c>
      <c r="T44" s="303">
        <f t="shared" si="4"/>
        <v>83.43353726362625</v>
      </c>
      <c r="U44" s="303">
        <f t="shared" si="4"/>
        <v>89.39307563959954</v>
      </c>
      <c r="V44" s="303">
        <f t="shared" si="4"/>
        <v>95.35261401557285</v>
      </c>
      <c r="W44" s="311">
        <f t="shared" si="4"/>
        <v>101.31215239154616</v>
      </c>
    </row>
    <row r="45" spans="2:23" ht="12.75">
      <c r="B45" s="65"/>
      <c r="C45" s="168" t="s">
        <v>37</v>
      </c>
      <c r="D45" s="169">
        <v>23</v>
      </c>
      <c r="E45" s="169" t="s">
        <v>1</v>
      </c>
      <c r="F45" s="168">
        <v>29</v>
      </c>
      <c r="G45" s="265">
        <f t="shared" si="3"/>
        <v>1.2608695652173914</v>
      </c>
      <c r="H45" s="80"/>
      <c r="I45" s="250" t="s">
        <v>111</v>
      </c>
      <c r="J45" s="244">
        <f t="shared" si="4"/>
        <v>24.92170593588836</v>
      </c>
      <c r="K45" s="244">
        <f t="shared" si="4"/>
        <v>31.152132419860447</v>
      </c>
      <c r="L45" s="244">
        <f t="shared" si="4"/>
        <v>37.38255890383254</v>
      </c>
      <c r="M45" s="244">
        <f t="shared" si="4"/>
        <v>43.61298538780463</v>
      </c>
      <c r="N45" s="244">
        <f t="shared" si="4"/>
        <v>49.84341187177672</v>
      </c>
      <c r="O45" s="244">
        <f t="shared" si="4"/>
        <v>56.0738383557488</v>
      </c>
      <c r="P45" s="244">
        <f t="shared" si="4"/>
        <v>62.304264839720894</v>
      </c>
      <c r="Q45" s="244">
        <f t="shared" si="4"/>
        <v>68.53469132369298</v>
      </c>
      <c r="R45" s="244">
        <f t="shared" si="4"/>
        <v>74.76511780766508</v>
      </c>
      <c r="S45" s="244">
        <f t="shared" si="4"/>
        <v>80.99554429163716</v>
      </c>
      <c r="T45" s="244">
        <f t="shared" si="4"/>
        <v>87.22597077560926</v>
      </c>
      <c r="U45" s="244">
        <f t="shared" si="4"/>
        <v>93.45639725958137</v>
      </c>
      <c r="V45" s="244">
        <f t="shared" si="4"/>
        <v>99.68682374355345</v>
      </c>
      <c r="W45" s="245">
        <f t="shared" si="4"/>
        <v>105.91725022752551</v>
      </c>
    </row>
    <row r="46" spans="2:23" ht="12.75">
      <c r="B46" s="65"/>
      <c r="C46" s="168" t="s">
        <v>3</v>
      </c>
      <c r="D46" s="169">
        <v>23</v>
      </c>
      <c r="E46" s="169" t="s">
        <v>1</v>
      </c>
      <c r="F46" s="168">
        <v>28</v>
      </c>
      <c r="G46" s="265">
        <f t="shared" si="3"/>
        <v>1.2173913043478262</v>
      </c>
      <c r="H46" s="80"/>
      <c r="I46" s="69"/>
      <c r="J46" s="303">
        <f t="shared" si="4"/>
        <v>25.81176686217008</v>
      </c>
      <c r="K46" s="303">
        <f t="shared" si="4"/>
        <v>32.264708577712604</v>
      </c>
      <c r="L46" s="303">
        <f t="shared" si="4"/>
        <v>38.717650293255126</v>
      </c>
      <c r="M46" s="303">
        <f t="shared" si="4"/>
        <v>45.17059200879765</v>
      </c>
      <c r="N46" s="303">
        <f t="shared" si="4"/>
        <v>51.62353372434016</v>
      </c>
      <c r="O46" s="303">
        <f t="shared" si="4"/>
        <v>58.076475439882685</v>
      </c>
      <c r="P46" s="303">
        <f t="shared" si="4"/>
        <v>64.52941715542521</v>
      </c>
      <c r="Q46" s="303">
        <f t="shared" si="4"/>
        <v>70.98235887096773</v>
      </c>
      <c r="R46" s="303">
        <f t="shared" si="4"/>
        <v>77.43530058651025</v>
      </c>
      <c r="S46" s="303">
        <f t="shared" si="4"/>
        <v>83.88824230205277</v>
      </c>
      <c r="T46" s="303">
        <f t="shared" si="4"/>
        <v>90.3411840175953</v>
      </c>
      <c r="U46" s="303">
        <f t="shared" si="4"/>
        <v>96.79412573313782</v>
      </c>
      <c r="V46" s="303">
        <f t="shared" si="4"/>
        <v>103.24706744868033</v>
      </c>
      <c r="W46" s="311">
        <f t="shared" si="4"/>
        <v>109.70000916422286</v>
      </c>
    </row>
    <row r="47" spans="2:23" ht="12.75">
      <c r="B47" s="65"/>
      <c r="C47" s="168" t="s">
        <v>38</v>
      </c>
      <c r="D47" s="169">
        <v>23</v>
      </c>
      <c r="E47" s="169" t="s">
        <v>1</v>
      </c>
      <c r="F47" s="168">
        <v>27</v>
      </c>
      <c r="G47" s="265">
        <f t="shared" si="3"/>
        <v>1.173913043478261</v>
      </c>
      <c r="H47" s="80"/>
      <c r="I47" s="69"/>
      <c r="J47" s="303">
        <f t="shared" si="4"/>
        <v>26.767758227435642</v>
      </c>
      <c r="K47" s="303">
        <f t="shared" si="4"/>
        <v>33.459697784294555</v>
      </c>
      <c r="L47" s="303">
        <f t="shared" si="4"/>
        <v>40.15163734115346</v>
      </c>
      <c r="M47" s="303">
        <f t="shared" si="4"/>
        <v>46.84357689801237</v>
      </c>
      <c r="N47" s="303">
        <f t="shared" si="4"/>
        <v>53.535516454871285</v>
      </c>
      <c r="O47" s="303">
        <f t="shared" si="4"/>
        <v>60.2274560117302</v>
      </c>
      <c r="P47" s="303">
        <f t="shared" si="4"/>
        <v>66.91939556858911</v>
      </c>
      <c r="Q47" s="303">
        <f t="shared" si="4"/>
        <v>73.61133512544801</v>
      </c>
      <c r="R47" s="303">
        <f t="shared" si="4"/>
        <v>80.30327468230692</v>
      </c>
      <c r="S47" s="303">
        <f t="shared" si="4"/>
        <v>86.99521423916585</v>
      </c>
      <c r="T47" s="303">
        <f t="shared" si="4"/>
        <v>93.68715379602475</v>
      </c>
      <c r="U47" s="303">
        <f t="shared" si="4"/>
        <v>100.37909335288366</v>
      </c>
      <c r="V47" s="303">
        <f t="shared" si="4"/>
        <v>107.07103290974257</v>
      </c>
      <c r="W47" s="311">
        <f t="shared" si="4"/>
        <v>113.76297246660148</v>
      </c>
    </row>
    <row r="48" spans="2:23" ht="12.75">
      <c r="B48" s="65"/>
      <c r="C48" s="272" t="s">
        <v>41</v>
      </c>
      <c r="D48" s="175">
        <v>24</v>
      </c>
      <c r="E48" s="175" t="s">
        <v>1</v>
      </c>
      <c r="F48" s="174">
        <v>28</v>
      </c>
      <c r="G48" s="268">
        <f t="shared" si="3"/>
        <v>1.1666666666666667</v>
      </c>
      <c r="H48" s="304" t="s">
        <v>118</v>
      </c>
      <c r="I48" s="69"/>
      <c r="J48" s="303">
        <f t="shared" si="4"/>
        <v>26.934017595307918</v>
      </c>
      <c r="K48" s="303">
        <f t="shared" si="4"/>
        <v>33.667521994134894</v>
      </c>
      <c r="L48" s="303">
        <f t="shared" si="4"/>
        <v>40.40102639296187</v>
      </c>
      <c r="M48" s="303">
        <f t="shared" si="4"/>
        <v>47.13453079178885</v>
      </c>
      <c r="N48" s="303">
        <f t="shared" si="4"/>
        <v>53.868035190615835</v>
      </c>
      <c r="O48" s="303">
        <f t="shared" si="4"/>
        <v>60.601539589442815</v>
      </c>
      <c r="P48" s="303">
        <f t="shared" si="4"/>
        <v>67.33504398826979</v>
      </c>
      <c r="Q48" s="303">
        <f t="shared" si="4"/>
        <v>74.06854838709675</v>
      </c>
      <c r="R48" s="303">
        <f t="shared" si="4"/>
        <v>80.80205278592373</v>
      </c>
      <c r="S48" s="303">
        <f t="shared" si="4"/>
        <v>87.53555718475072</v>
      </c>
      <c r="T48" s="303">
        <f t="shared" si="4"/>
        <v>94.2690615835777</v>
      </c>
      <c r="U48" s="303">
        <f t="shared" si="4"/>
        <v>101.00256598240469</v>
      </c>
      <c r="V48" s="303">
        <f t="shared" si="4"/>
        <v>107.73607038123167</v>
      </c>
      <c r="W48" s="311">
        <f t="shared" si="4"/>
        <v>114.46957478005865</v>
      </c>
    </row>
    <row r="49" spans="2:23" ht="12.75">
      <c r="B49" s="65"/>
      <c r="C49" s="168" t="s">
        <v>23</v>
      </c>
      <c r="D49" s="169">
        <v>24</v>
      </c>
      <c r="E49" s="169" t="s">
        <v>1</v>
      </c>
      <c r="F49" s="168">
        <v>27</v>
      </c>
      <c r="G49" s="265">
        <f t="shared" si="3"/>
        <v>1.125</v>
      </c>
      <c r="H49" s="80"/>
      <c r="I49" s="69"/>
      <c r="J49" s="303">
        <f t="shared" si="4"/>
        <v>27.93157380254154</v>
      </c>
      <c r="K49" s="303">
        <f t="shared" si="4"/>
        <v>34.91446725317693</v>
      </c>
      <c r="L49" s="303">
        <f t="shared" si="4"/>
        <v>41.89736070381231</v>
      </c>
      <c r="M49" s="303">
        <f t="shared" si="4"/>
        <v>48.8802541544477</v>
      </c>
      <c r="N49" s="303">
        <f t="shared" si="4"/>
        <v>55.86314760508308</v>
      </c>
      <c r="O49" s="303">
        <f t="shared" si="4"/>
        <v>62.846041055718466</v>
      </c>
      <c r="P49" s="303">
        <f t="shared" si="4"/>
        <v>69.82893450635386</v>
      </c>
      <c r="Q49" s="303">
        <f t="shared" si="4"/>
        <v>76.81182795698926</v>
      </c>
      <c r="R49" s="303">
        <f t="shared" si="4"/>
        <v>83.79472140762462</v>
      </c>
      <c r="S49" s="303">
        <f t="shared" si="4"/>
        <v>90.77761485826001</v>
      </c>
      <c r="T49" s="303">
        <f t="shared" si="4"/>
        <v>97.7605083088954</v>
      </c>
      <c r="U49" s="303">
        <f t="shared" si="4"/>
        <v>104.7434017595308</v>
      </c>
      <c r="V49" s="303">
        <f t="shared" si="4"/>
        <v>111.72629521016616</v>
      </c>
      <c r="W49" s="311">
        <f t="shared" si="4"/>
        <v>118.70918866080154</v>
      </c>
    </row>
    <row r="50" spans="2:23" ht="12.75">
      <c r="B50" s="65"/>
      <c r="C50" s="170" t="s">
        <v>39</v>
      </c>
      <c r="D50" s="171">
        <v>25</v>
      </c>
      <c r="E50" s="171" t="s">
        <v>1</v>
      </c>
      <c r="F50" s="170">
        <v>27</v>
      </c>
      <c r="G50" s="266">
        <f t="shared" si="3"/>
        <v>1.08</v>
      </c>
      <c r="H50" s="80"/>
      <c r="I50" s="69"/>
      <c r="J50" s="303">
        <f t="shared" si="4"/>
        <v>29.095389377647436</v>
      </c>
      <c r="K50" s="303">
        <f t="shared" si="4"/>
        <v>36.3692367220593</v>
      </c>
      <c r="L50" s="303">
        <f t="shared" si="4"/>
        <v>43.643084066471154</v>
      </c>
      <c r="M50" s="303">
        <f t="shared" si="4"/>
        <v>50.916931410883016</v>
      </c>
      <c r="N50" s="303">
        <f t="shared" si="4"/>
        <v>58.19077875529487</v>
      </c>
      <c r="O50" s="303">
        <f t="shared" si="4"/>
        <v>65.46462609970673</v>
      </c>
      <c r="P50" s="303">
        <f t="shared" si="4"/>
        <v>72.7384734441186</v>
      </c>
      <c r="Q50" s="303">
        <f t="shared" si="4"/>
        <v>80.01232078853046</v>
      </c>
      <c r="R50" s="303">
        <f t="shared" si="4"/>
        <v>87.28616813294231</v>
      </c>
      <c r="S50" s="303">
        <f t="shared" si="4"/>
        <v>94.5600154773542</v>
      </c>
      <c r="T50" s="303">
        <f t="shared" si="4"/>
        <v>101.83386282176603</v>
      </c>
      <c r="U50" s="303">
        <f t="shared" si="4"/>
        <v>109.1077101661779</v>
      </c>
      <c r="V50" s="303">
        <f t="shared" si="4"/>
        <v>116.38155751058974</v>
      </c>
      <c r="W50" s="311">
        <f t="shared" si="4"/>
        <v>123.65540485500159</v>
      </c>
    </row>
    <row r="51" spans="2:23" ht="12.75">
      <c r="B51" s="65"/>
      <c r="C51" s="67"/>
      <c r="D51" s="68"/>
      <c r="E51" s="68"/>
      <c r="F51" s="67"/>
      <c r="G51" s="263"/>
      <c r="H51" s="80"/>
      <c r="I51" s="69"/>
      <c r="J51" s="242">
        <v>2000</v>
      </c>
      <c r="K51" s="242">
        <v>2500</v>
      </c>
      <c r="L51" s="242">
        <v>3000</v>
      </c>
      <c r="M51" s="242">
        <v>3500</v>
      </c>
      <c r="N51" s="242">
        <v>4000</v>
      </c>
      <c r="O51" s="242">
        <v>4500</v>
      </c>
      <c r="P51" s="242">
        <v>5000</v>
      </c>
      <c r="Q51" s="242">
        <v>5500</v>
      </c>
      <c r="R51" s="242">
        <v>6000</v>
      </c>
      <c r="S51" s="242">
        <v>6500</v>
      </c>
      <c r="T51" s="242">
        <v>7000</v>
      </c>
      <c r="U51" s="242">
        <v>7500</v>
      </c>
      <c r="V51" s="242">
        <v>8000</v>
      </c>
      <c r="W51" s="243">
        <v>8500</v>
      </c>
    </row>
    <row r="52" spans="2:23" ht="12.75">
      <c r="B52" s="183" t="s">
        <v>40</v>
      </c>
      <c r="C52" s="172" t="s">
        <v>36</v>
      </c>
      <c r="D52" s="173">
        <v>22</v>
      </c>
      <c r="E52" s="173" t="s">
        <v>1</v>
      </c>
      <c r="F52" s="172">
        <v>29</v>
      </c>
      <c r="G52" s="267">
        <f aca="true" t="shared" si="5" ref="G52:G74">F52/D52</f>
        <v>1.3181818181818181</v>
      </c>
      <c r="H52" s="80"/>
      <c r="I52" s="69"/>
      <c r="J52" s="303">
        <f aca="true" t="shared" si="6" ref="J52:W61">(((J$9/$G52/$L$4)*60)*$L$5)/$L$6</f>
        <v>23.838153503893214</v>
      </c>
      <c r="K52" s="303">
        <f t="shared" si="6"/>
        <v>29.79769187986652</v>
      </c>
      <c r="L52" s="303">
        <f t="shared" si="6"/>
        <v>35.75723025583982</v>
      </c>
      <c r="M52" s="303">
        <f t="shared" si="6"/>
        <v>41.716768631813125</v>
      </c>
      <c r="N52" s="303">
        <f t="shared" si="6"/>
        <v>47.67630700778643</v>
      </c>
      <c r="O52" s="303">
        <f t="shared" si="6"/>
        <v>53.63584538375974</v>
      </c>
      <c r="P52" s="303">
        <f t="shared" si="6"/>
        <v>59.59538375973304</v>
      </c>
      <c r="Q52" s="303">
        <f t="shared" si="6"/>
        <v>65.55492213570633</v>
      </c>
      <c r="R52" s="303">
        <f t="shared" si="6"/>
        <v>71.51446051167964</v>
      </c>
      <c r="S52" s="303">
        <f t="shared" si="6"/>
        <v>77.47399888765293</v>
      </c>
      <c r="T52" s="303">
        <f t="shared" si="6"/>
        <v>83.43353726362625</v>
      </c>
      <c r="U52" s="303">
        <f t="shared" si="6"/>
        <v>89.39307563959954</v>
      </c>
      <c r="V52" s="303">
        <f t="shared" si="6"/>
        <v>95.35261401557285</v>
      </c>
      <c r="W52" s="311">
        <f t="shared" si="6"/>
        <v>101.31215239154616</v>
      </c>
    </row>
    <row r="53" spans="2:23" ht="12.75">
      <c r="B53" s="65"/>
      <c r="C53" s="174" t="s">
        <v>37</v>
      </c>
      <c r="D53" s="175">
        <v>23</v>
      </c>
      <c r="E53" s="175" t="s">
        <v>1</v>
      </c>
      <c r="F53" s="174">
        <v>29</v>
      </c>
      <c r="G53" s="268">
        <f t="shared" si="5"/>
        <v>1.2608695652173914</v>
      </c>
      <c r="H53" s="80"/>
      <c r="I53" s="69"/>
      <c r="J53" s="303">
        <f t="shared" si="6"/>
        <v>24.92170593588836</v>
      </c>
      <c r="K53" s="303">
        <f t="shared" si="6"/>
        <v>31.152132419860447</v>
      </c>
      <c r="L53" s="303">
        <f t="shared" si="6"/>
        <v>37.38255890383254</v>
      </c>
      <c r="M53" s="303">
        <f t="shared" si="6"/>
        <v>43.61298538780463</v>
      </c>
      <c r="N53" s="303">
        <f t="shared" si="6"/>
        <v>49.84341187177672</v>
      </c>
      <c r="O53" s="303">
        <f t="shared" si="6"/>
        <v>56.0738383557488</v>
      </c>
      <c r="P53" s="303">
        <f t="shared" si="6"/>
        <v>62.304264839720894</v>
      </c>
      <c r="Q53" s="303">
        <f t="shared" si="6"/>
        <v>68.53469132369298</v>
      </c>
      <c r="R53" s="303">
        <f t="shared" si="6"/>
        <v>74.76511780766508</v>
      </c>
      <c r="S53" s="303">
        <f t="shared" si="6"/>
        <v>80.99554429163716</v>
      </c>
      <c r="T53" s="303">
        <f t="shared" si="6"/>
        <v>87.22597077560926</v>
      </c>
      <c r="U53" s="303">
        <f t="shared" si="6"/>
        <v>93.45639725958137</v>
      </c>
      <c r="V53" s="303">
        <f t="shared" si="6"/>
        <v>99.68682374355345</v>
      </c>
      <c r="W53" s="311">
        <f t="shared" si="6"/>
        <v>105.91725022752551</v>
      </c>
    </row>
    <row r="54" spans="2:23" ht="12.75">
      <c r="B54" s="65"/>
      <c r="C54" s="174" t="s">
        <v>3</v>
      </c>
      <c r="D54" s="175">
        <v>23</v>
      </c>
      <c r="E54" s="175" t="s">
        <v>1</v>
      </c>
      <c r="F54" s="174">
        <v>28</v>
      </c>
      <c r="G54" s="268">
        <f t="shared" si="5"/>
        <v>1.2173913043478262</v>
      </c>
      <c r="H54" s="80"/>
      <c r="I54" s="69"/>
      <c r="J54" s="303">
        <f t="shared" si="6"/>
        <v>25.81176686217008</v>
      </c>
      <c r="K54" s="303">
        <f t="shared" si="6"/>
        <v>32.264708577712604</v>
      </c>
      <c r="L54" s="303">
        <f t="shared" si="6"/>
        <v>38.717650293255126</v>
      </c>
      <c r="M54" s="303">
        <f t="shared" si="6"/>
        <v>45.17059200879765</v>
      </c>
      <c r="N54" s="303">
        <f t="shared" si="6"/>
        <v>51.62353372434016</v>
      </c>
      <c r="O54" s="303">
        <f t="shared" si="6"/>
        <v>58.076475439882685</v>
      </c>
      <c r="P54" s="303">
        <f t="shared" si="6"/>
        <v>64.52941715542521</v>
      </c>
      <c r="Q54" s="303">
        <f t="shared" si="6"/>
        <v>70.98235887096773</v>
      </c>
      <c r="R54" s="303">
        <f t="shared" si="6"/>
        <v>77.43530058651025</v>
      </c>
      <c r="S54" s="303">
        <f t="shared" si="6"/>
        <v>83.88824230205277</v>
      </c>
      <c r="T54" s="303">
        <f t="shared" si="6"/>
        <v>90.3411840175953</v>
      </c>
      <c r="U54" s="303">
        <f t="shared" si="6"/>
        <v>96.79412573313782</v>
      </c>
      <c r="V54" s="303">
        <f t="shared" si="6"/>
        <v>103.24706744868033</v>
      </c>
      <c r="W54" s="311">
        <f t="shared" si="6"/>
        <v>109.70000916422286</v>
      </c>
    </row>
    <row r="55" spans="2:23" ht="12.75">
      <c r="B55" s="65"/>
      <c r="C55" s="174" t="s">
        <v>38</v>
      </c>
      <c r="D55" s="175">
        <v>23</v>
      </c>
      <c r="E55" s="175" t="s">
        <v>1</v>
      </c>
      <c r="F55" s="174">
        <v>27</v>
      </c>
      <c r="G55" s="268">
        <f t="shared" si="5"/>
        <v>1.173913043478261</v>
      </c>
      <c r="H55" s="80"/>
      <c r="I55" s="69"/>
      <c r="J55" s="303">
        <f t="shared" si="6"/>
        <v>26.767758227435642</v>
      </c>
      <c r="K55" s="303">
        <f t="shared" si="6"/>
        <v>33.459697784294555</v>
      </c>
      <c r="L55" s="303">
        <f t="shared" si="6"/>
        <v>40.15163734115346</v>
      </c>
      <c r="M55" s="303">
        <f t="shared" si="6"/>
        <v>46.84357689801237</v>
      </c>
      <c r="N55" s="303">
        <f t="shared" si="6"/>
        <v>53.535516454871285</v>
      </c>
      <c r="O55" s="303">
        <f t="shared" si="6"/>
        <v>60.2274560117302</v>
      </c>
      <c r="P55" s="303">
        <f t="shared" si="6"/>
        <v>66.91939556858911</v>
      </c>
      <c r="Q55" s="303">
        <f t="shared" si="6"/>
        <v>73.61133512544801</v>
      </c>
      <c r="R55" s="303">
        <f t="shared" si="6"/>
        <v>80.30327468230692</v>
      </c>
      <c r="S55" s="303">
        <f t="shared" si="6"/>
        <v>86.99521423916585</v>
      </c>
      <c r="T55" s="303">
        <f t="shared" si="6"/>
        <v>93.68715379602475</v>
      </c>
      <c r="U55" s="303">
        <f t="shared" si="6"/>
        <v>100.37909335288366</v>
      </c>
      <c r="V55" s="303">
        <f t="shared" si="6"/>
        <v>107.07103290974257</v>
      </c>
      <c r="W55" s="311">
        <f t="shared" si="6"/>
        <v>113.76297246660148</v>
      </c>
    </row>
    <row r="56" spans="2:23" ht="12.75">
      <c r="B56" s="65"/>
      <c r="C56" s="174" t="s">
        <v>23</v>
      </c>
      <c r="D56" s="175">
        <v>24</v>
      </c>
      <c r="E56" s="175" t="s">
        <v>1</v>
      </c>
      <c r="F56" s="174">
        <v>27</v>
      </c>
      <c r="G56" s="268">
        <f t="shared" si="5"/>
        <v>1.125</v>
      </c>
      <c r="H56" s="80"/>
      <c r="I56" s="69"/>
      <c r="J56" s="303">
        <f t="shared" si="6"/>
        <v>27.93157380254154</v>
      </c>
      <c r="K56" s="303">
        <f t="shared" si="6"/>
        <v>34.91446725317693</v>
      </c>
      <c r="L56" s="303">
        <f t="shared" si="6"/>
        <v>41.89736070381231</v>
      </c>
      <c r="M56" s="303">
        <f t="shared" si="6"/>
        <v>48.8802541544477</v>
      </c>
      <c r="N56" s="303">
        <f t="shared" si="6"/>
        <v>55.86314760508308</v>
      </c>
      <c r="O56" s="303">
        <f t="shared" si="6"/>
        <v>62.846041055718466</v>
      </c>
      <c r="P56" s="303">
        <f t="shared" si="6"/>
        <v>69.82893450635386</v>
      </c>
      <c r="Q56" s="303">
        <f t="shared" si="6"/>
        <v>76.81182795698926</v>
      </c>
      <c r="R56" s="303">
        <f t="shared" si="6"/>
        <v>83.79472140762462</v>
      </c>
      <c r="S56" s="303">
        <f t="shared" si="6"/>
        <v>90.77761485826001</v>
      </c>
      <c r="T56" s="303">
        <f t="shared" si="6"/>
        <v>97.7605083088954</v>
      </c>
      <c r="U56" s="303">
        <f t="shared" si="6"/>
        <v>104.7434017595308</v>
      </c>
      <c r="V56" s="303">
        <f t="shared" si="6"/>
        <v>111.72629521016616</v>
      </c>
      <c r="W56" s="311">
        <f t="shared" si="6"/>
        <v>118.70918866080154</v>
      </c>
    </row>
    <row r="57" spans="2:23" ht="12.75">
      <c r="B57" s="65"/>
      <c r="C57" s="174" t="s">
        <v>39</v>
      </c>
      <c r="D57" s="175">
        <v>25</v>
      </c>
      <c r="E57" s="175" t="s">
        <v>1</v>
      </c>
      <c r="F57" s="174">
        <v>27</v>
      </c>
      <c r="G57" s="268">
        <f t="shared" si="5"/>
        <v>1.08</v>
      </c>
      <c r="H57" s="80"/>
      <c r="I57" s="69"/>
      <c r="J57" s="303">
        <f t="shared" si="6"/>
        <v>29.095389377647436</v>
      </c>
      <c r="K57" s="303">
        <f t="shared" si="6"/>
        <v>36.3692367220593</v>
      </c>
      <c r="L57" s="303">
        <f t="shared" si="6"/>
        <v>43.643084066471154</v>
      </c>
      <c r="M57" s="303">
        <f t="shared" si="6"/>
        <v>50.916931410883016</v>
      </c>
      <c r="N57" s="303">
        <f t="shared" si="6"/>
        <v>58.19077875529487</v>
      </c>
      <c r="O57" s="303">
        <f t="shared" si="6"/>
        <v>65.46462609970673</v>
      </c>
      <c r="P57" s="303">
        <f t="shared" si="6"/>
        <v>72.7384734441186</v>
      </c>
      <c r="Q57" s="303">
        <f t="shared" si="6"/>
        <v>80.01232078853046</v>
      </c>
      <c r="R57" s="303">
        <f t="shared" si="6"/>
        <v>87.28616813294231</v>
      </c>
      <c r="S57" s="303">
        <f t="shared" si="6"/>
        <v>94.5600154773542</v>
      </c>
      <c r="T57" s="303">
        <f t="shared" si="6"/>
        <v>101.83386282176603</v>
      </c>
      <c r="U57" s="303">
        <f t="shared" si="6"/>
        <v>109.1077101661779</v>
      </c>
      <c r="V57" s="303">
        <f t="shared" si="6"/>
        <v>116.38155751058974</v>
      </c>
      <c r="W57" s="311">
        <f t="shared" si="6"/>
        <v>123.65540485500159</v>
      </c>
    </row>
    <row r="58" spans="2:23" ht="12.75">
      <c r="B58" s="65"/>
      <c r="C58" s="174" t="s">
        <v>42</v>
      </c>
      <c r="D58" s="175">
        <v>25</v>
      </c>
      <c r="E58" s="175" t="s">
        <v>1</v>
      </c>
      <c r="F58" s="174">
        <v>26</v>
      </c>
      <c r="G58" s="268">
        <f t="shared" si="5"/>
        <v>1.04</v>
      </c>
      <c r="H58" s="80"/>
      <c r="I58" s="69"/>
      <c r="J58" s="303">
        <f t="shared" si="6"/>
        <v>30.21444281524926</v>
      </c>
      <c r="K58" s="303">
        <f t="shared" si="6"/>
        <v>37.76805351906158</v>
      </c>
      <c r="L58" s="303">
        <f t="shared" si="6"/>
        <v>45.32166422287389</v>
      </c>
      <c r="M58" s="303">
        <f t="shared" si="6"/>
        <v>52.87527492668621</v>
      </c>
      <c r="N58" s="303">
        <f t="shared" si="6"/>
        <v>60.42888563049852</v>
      </c>
      <c r="O58" s="303">
        <f t="shared" si="6"/>
        <v>67.98249633431085</v>
      </c>
      <c r="P58" s="303">
        <f t="shared" si="6"/>
        <v>75.53610703812316</v>
      </c>
      <c r="Q58" s="303">
        <f t="shared" si="6"/>
        <v>83.08971774193547</v>
      </c>
      <c r="R58" s="303">
        <f t="shared" si="6"/>
        <v>90.64332844574778</v>
      </c>
      <c r="S58" s="303">
        <f t="shared" si="6"/>
        <v>98.19693914956012</v>
      </c>
      <c r="T58" s="303">
        <f t="shared" si="6"/>
        <v>105.75054985337242</v>
      </c>
      <c r="U58" s="303">
        <f t="shared" si="6"/>
        <v>113.30416055718473</v>
      </c>
      <c r="V58" s="303">
        <f t="shared" si="6"/>
        <v>120.85777126099704</v>
      </c>
      <c r="W58" s="311">
        <f t="shared" si="6"/>
        <v>128.41138196480938</v>
      </c>
    </row>
    <row r="59" spans="2:23" ht="12.75">
      <c r="B59" s="65"/>
      <c r="C59" s="174" t="s">
        <v>43</v>
      </c>
      <c r="D59" s="175">
        <v>26</v>
      </c>
      <c r="E59" s="175" t="s">
        <v>1</v>
      </c>
      <c r="F59" s="174">
        <v>26</v>
      </c>
      <c r="G59" s="268">
        <f t="shared" si="5"/>
        <v>1</v>
      </c>
      <c r="H59" s="80"/>
      <c r="I59" s="69"/>
      <c r="J59" s="303">
        <f t="shared" si="6"/>
        <v>31.423020527859233</v>
      </c>
      <c r="K59" s="303">
        <f t="shared" si="6"/>
        <v>39.27877565982405</v>
      </c>
      <c r="L59" s="303">
        <f t="shared" si="6"/>
        <v>47.13453079178885</v>
      </c>
      <c r="M59" s="303">
        <f t="shared" si="6"/>
        <v>54.99028592375366</v>
      </c>
      <c r="N59" s="303">
        <f t="shared" si="6"/>
        <v>62.846041055718466</v>
      </c>
      <c r="O59" s="303">
        <f t="shared" si="6"/>
        <v>70.70179618768329</v>
      </c>
      <c r="P59" s="303">
        <f t="shared" si="6"/>
        <v>78.5575513196481</v>
      </c>
      <c r="Q59" s="303">
        <f t="shared" si="6"/>
        <v>86.4133064516129</v>
      </c>
      <c r="R59" s="303">
        <f t="shared" si="6"/>
        <v>94.2690615835777</v>
      </c>
      <c r="S59" s="303">
        <f t="shared" si="6"/>
        <v>102.12481671554252</v>
      </c>
      <c r="T59" s="303">
        <f t="shared" si="6"/>
        <v>109.98057184750732</v>
      </c>
      <c r="U59" s="303">
        <f t="shared" si="6"/>
        <v>117.83632697947215</v>
      </c>
      <c r="V59" s="303">
        <f t="shared" si="6"/>
        <v>125.69208211143693</v>
      </c>
      <c r="W59" s="311">
        <f t="shared" si="6"/>
        <v>133.54783724340174</v>
      </c>
    </row>
    <row r="60" spans="2:23" ht="12.75">
      <c r="B60" s="65"/>
      <c r="C60" s="174" t="s">
        <v>44</v>
      </c>
      <c r="D60" s="175">
        <v>26</v>
      </c>
      <c r="E60" s="175" t="s">
        <v>1</v>
      </c>
      <c r="F60" s="174">
        <v>25</v>
      </c>
      <c r="G60" s="268">
        <f t="shared" si="5"/>
        <v>0.9615384615384616</v>
      </c>
      <c r="H60" s="80"/>
      <c r="I60" s="69"/>
      <c r="J60" s="303">
        <f t="shared" si="6"/>
        <v>32.6799413489736</v>
      </c>
      <c r="K60" s="303">
        <f t="shared" si="6"/>
        <v>40.849926686216996</v>
      </c>
      <c r="L60" s="303">
        <f t="shared" si="6"/>
        <v>49.019912023460414</v>
      </c>
      <c r="M60" s="303">
        <f t="shared" si="6"/>
        <v>57.18989736070381</v>
      </c>
      <c r="N60" s="303">
        <f t="shared" si="6"/>
        <v>65.3598826979472</v>
      </c>
      <c r="O60" s="303">
        <f t="shared" si="6"/>
        <v>73.52986803519062</v>
      </c>
      <c r="P60" s="303">
        <f t="shared" si="6"/>
        <v>81.69985337243399</v>
      </c>
      <c r="Q60" s="303">
        <f t="shared" si="6"/>
        <v>89.8698387096774</v>
      </c>
      <c r="R60" s="303">
        <f t="shared" si="6"/>
        <v>98.03982404692083</v>
      </c>
      <c r="S60" s="303">
        <f t="shared" si="6"/>
        <v>106.2098093841642</v>
      </c>
      <c r="T60" s="303">
        <f t="shared" si="6"/>
        <v>114.37979472140762</v>
      </c>
      <c r="U60" s="303">
        <f t="shared" si="6"/>
        <v>122.54978005865102</v>
      </c>
      <c r="V60" s="303">
        <f t="shared" si="6"/>
        <v>130.7197653958944</v>
      </c>
      <c r="W60" s="311">
        <f t="shared" si="6"/>
        <v>138.88975073313782</v>
      </c>
    </row>
    <row r="61" spans="2:23" ht="12.75">
      <c r="B61" s="65"/>
      <c r="C61" s="174" t="s">
        <v>4</v>
      </c>
      <c r="D61" s="175">
        <v>27</v>
      </c>
      <c r="E61" s="175" t="s">
        <v>1</v>
      </c>
      <c r="F61" s="174">
        <v>25</v>
      </c>
      <c r="G61" s="268">
        <f t="shared" si="5"/>
        <v>0.9259259259259259</v>
      </c>
      <c r="H61" s="80"/>
      <c r="I61" s="250" t="s">
        <v>112</v>
      </c>
      <c r="J61" s="244">
        <f t="shared" si="6"/>
        <v>33.93686217008798</v>
      </c>
      <c r="K61" s="244">
        <f t="shared" si="6"/>
        <v>42.421077712609964</v>
      </c>
      <c r="L61" s="244">
        <f t="shared" si="6"/>
        <v>50.90529325513196</v>
      </c>
      <c r="M61" s="244">
        <f t="shared" si="6"/>
        <v>59.38950879765395</v>
      </c>
      <c r="N61" s="244">
        <f t="shared" si="6"/>
        <v>67.87372434017595</v>
      </c>
      <c r="O61" s="244">
        <f t="shared" si="6"/>
        <v>76.35793988269793</v>
      </c>
      <c r="P61" s="244">
        <f t="shared" si="6"/>
        <v>84.84215542521993</v>
      </c>
      <c r="Q61" s="244">
        <f t="shared" si="6"/>
        <v>93.32637096774194</v>
      </c>
      <c r="R61" s="244">
        <f t="shared" si="6"/>
        <v>101.81058651026392</v>
      </c>
      <c r="S61" s="244">
        <f t="shared" si="6"/>
        <v>110.29480205278591</v>
      </c>
      <c r="T61" s="244">
        <f t="shared" si="6"/>
        <v>118.7790175953079</v>
      </c>
      <c r="U61" s="244">
        <f t="shared" si="6"/>
        <v>127.2632331378299</v>
      </c>
      <c r="V61" s="244">
        <f t="shared" si="6"/>
        <v>135.7474486803519</v>
      </c>
      <c r="W61" s="245">
        <f t="shared" si="6"/>
        <v>144.23166422287392</v>
      </c>
    </row>
    <row r="62" spans="2:23" ht="12.75">
      <c r="B62" s="65"/>
      <c r="C62" s="174" t="s">
        <v>45</v>
      </c>
      <c r="D62" s="175">
        <v>27</v>
      </c>
      <c r="E62" s="175" t="s">
        <v>1</v>
      </c>
      <c r="F62" s="174">
        <v>24</v>
      </c>
      <c r="G62" s="268">
        <f t="shared" si="5"/>
        <v>0.8888888888888888</v>
      </c>
      <c r="H62" s="80"/>
      <c r="I62" s="69"/>
      <c r="J62" s="303">
        <f aca="true" t="shared" si="7" ref="J62:W74">(((J$9/$G62/$L$4)*60)*$L$5)/$L$6</f>
        <v>35.35089809384164</v>
      </c>
      <c r="K62" s="303">
        <f t="shared" si="7"/>
        <v>44.18862261730205</v>
      </c>
      <c r="L62" s="303">
        <f t="shared" si="7"/>
        <v>53.026347140762454</v>
      </c>
      <c r="M62" s="303">
        <f t="shared" si="7"/>
        <v>61.86407166422286</v>
      </c>
      <c r="N62" s="303">
        <f t="shared" si="7"/>
        <v>70.70179618768329</v>
      </c>
      <c r="O62" s="303">
        <f t="shared" si="7"/>
        <v>79.53952071114368</v>
      </c>
      <c r="P62" s="303">
        <f t="shared" si="7"/>
        <v>88.3772452346041</v>
      </c>
      <c r="Q62" s="303">
        <f t="shared" si="7"/>
        <v>97.21496975806451</v>
      </c>
      <c r="R62" s="303">
        <f t="shared" si="7"/>
        <v>106.05269428152491</v>
      </c>
      <c r="S62" s="303">
        <f t="shared" si="7"/>
        <v>114.89041880498533</v>
      </c>
      <c r="T62" s="303">
        <f t="shared" si="7"/>
        <v>123.72814332844573</v>
      </c>
      <c r="U62" s="303">
        <f t="shared" si="7"/>
        <v>132.56586785190615</v>
      </c>
      <c r="V62" s="303">
        <f t="shared" si="7"/>
        <v>141.40359237536657</v>
      </c>
      <c r="W62" s="311">
        <f t="shared" si="7"/>
        <v>150.24131689882697</v>
      </c>
    </row>
    <row r="63" spans="2:23" ht="12.75">
      <c r="B63" s="65"/>
      <c r="C63" s="174" t="s">
        <v>46</v>
      </c>
      <c r="D63" s="175">
        <v>28</v>
      </c>
      <c r="E63" s="175" t="s">
        <v>1</v>
      </c>
      <c r="F63" s="174">
        <v>24</v>
      </c>
      <c r="G63" s="268">
        <f t="shared" si="5"/>
        <v>0.8571428571428571</v>
      </c>
      <c r="H63" s="80"/>
      <c r="I63" s="69"/>
      <c r="J63" s="303">
        <f t="shared" si="7"/>
        <v>36.66019061583577</v>
      </c>
      <c r="K63" s="303">
        <f t="shared" si="7"/>
        <v>45.825238269794724</v>
      </c>
      <c r="L63" s="303">
        <f t="shared" si="7"/>
        <v>54.99028592375366</v>
      </c>
      <c r="M63" s="303">
        <f t="shared" si="7"/>
        <v>64.1553335777126</v>
      </c>
      <c r="N63" s="303">
        <f t="shared" si="7"/>
        <v>73.32038123167155</v>
      </c>
      <c r="O63" s="303">
        <f t="shared" si="7"/>
        <v>82.4854288856305</v>
      </c>
      <c r="P63" s="303">
        <f t="shared" si="7"/>
        <v>91.65047653958945</v>
      </c>
      <c r="Q63" s="303">
        <f t="shared" si="7"/>
        <v>100.8155241935484</v>
      </c>
      <c r="R63" s="303">
        <f t="shared" si="7"/>
        <v>109.98057184750732</v>
      </c>
      <c r="S63" s="303">
        <f t="shared" si="7"/>
        <v>119.14561950146627</v>
      </c>
      <c r="T63" s="303">
        <f t="shared" si="7"/>
        <v>128.3106671554252</v>
      </c>
      <c r="U63" s="303">
        <f t="shared" si="7"/>
        <v>137.4757148093842</v>
      </c>
      <c r="V63" s="303">
        <f t="shared" si="7"/>
        <v>146.6407624633431</v>
      </c>
      <c r="W63" s="311">
        <f t="shared" si="7"/>
        <v>155.80581011730206</v>
      </c>
    </row>
    <row r="64" spans="2:23" ht="12.75">
      <c r="B64" s="65"/>
      <c r="C64" s="271" t="s">
        <v>115</v>
      </c>
      <c r="D64" s="169">
        <v>27</v>
      </c>
      <c r="E64" s="169" t="s">
        <v>1</v>
      </c>
      <c r="F64" s="168">
        <v>23</v>
      </c>
      <c r="G64" s="265">
        <f t="shared" si="5"/>
        <v>0.8518518518518519</v>
      </c>
      <c r="H64" s="304" t="s">
        <v>118</v>
      </c>
      <c r="I64" s="69"/>
      <c r="J64" s="303">
        <f t="shared" si="7"/>
        <v>36.8878936631391</v>
      </c>
      <c r="K64" s="303">
        <f t="shared" si="7"/>
        <v>46.10986707892388</v>
      </c>
      <c r="L64" s="303">
        <f t="shared" si="7"/>
        <v>55.33184049470864</v>
      </c>
      <c r="M64" s="303">
        <f t="shared" si="7"/>
        <v>64.55381391049343</v>
      </c>
      <c r="N64" s="303">
        <f t="shared" si="7"/>
        <v>73.7757873262782</v>
      </c>
      <c r="O64" s="303">
        <f t="shared" si="7"/>
        <v>82.99776074206298</v>
      </c>
      <c r="P64" s="303">
        <f t="shared" si="7"/>
        <v>92.21973415784775</v>
      </c>
      <c r="Q64" s="303">
        <f t="shared" si="7"/>
        <v>101.44170757363253</v>
      </c>
      <c r="R64" s="303">
        <f t="shared" si="7"/>
        <v>110.66368098941729</v>
      </c>
      <c r="S64" s="303">
        <f t="shared" si="7"/>
        <v>119.88565440520209</v>
      </c>
      <c r="T64" s="303">
        <f t="shared" si="7"/>
        <v>129.10762782098686</v>
      </c>
      <c r="U64" s="303">
        <f t="shared" si="7"/>
        <v>138.32960123677162</v>
      </c>
      <c r="V64" s="303">
        <f t="shared" si="7"/>
        <v>147.5515746525564</v>
      </c>
      <c r="W64" s="311">
        <f t="shared" si="7"/>
        <v>156.7735480683412</v>
      </c>
    </row>
    <row r="65" spans="2:23" ht="12.75">
      <c r="B65" s="65"/>
      <c r="C65" s="174" t="s">
        <v>47</v>
      </c>
      <c r="D65" s="175">
        <v>28</v>
      </c>
      <c r="E65" s="175" t="s">
        <v>1</v>
      </c>
      <c r="F65" s="174">
        <v>23</v>
      </c>
      <c r="G65" s="268">
        <f t="shared" si="5"/>
        <v>0.8214285714285714</v>
      </c>
      <c r="H65" s="305"/>
      <c r="I65" s="69"/>
      <c r="J65" s="303">
        <f t="shared" si="7"/>
        <v>38.25411194695907</v>
      </c>
      <c r="K65" s="303">
        <f t="shared" si="7"/>
        <v>47.817639933698835</v>
      </c>
      <c r="L65" s="303">
        <f t="shared" si="7"/>
        <v>57.38116792043861</v>
      </c>
      <c r="M65" s="303">
        <f t="shared" si="7"/>
        <v>66.94469590717837</v>
      </c>
      <c r="N65" s="303">
        <f t="shared" si="7"/>
        <v>76.50822389391814</v>
      </c>
      <c r="O65" s="303">
        <f t="shared" si="7"/>
        <v>86.07175188065791</v>
      </c>
      <c r="P65" s="303">
        <f t="shared" si="7"/>
        <v>95.63527986739767</v>
      </c>
      <c r="Q65" s="303">
        <f t="shared" si="7"/>
        <v>105.19880785413744</v>
      </c>
      <c r="R65" s="303">
        <f t="shared" si="7"/>
        <v>114.76233584087721</v>
      </c>
      <c r="S65" s="303">
        <f t="shared" si="7"/>
        <v>124.32586382761698</v>
      </c>
      <c r="T65" s="303">
        <f t="shared" si="7"/>
        <v>133.88939181435674</v>
      </c>
      <c r="U65" s="303">
        <f t="shared" si="7"/>
        <v>143.4529198010965</v>
      </c>
      <c r="V65" s="303">
        <f t="shared" si="7"/>
        <v>153.01644778783628</v>
      </c>
      <c r="W65" s="311">
        <f t="shared" si="7"/>
        <v>162.579975774576</v>
      </c>
    </row>
    <row r="66" spans="2:23" ht="12.75">
      <c r="B66" s="65"/>
      <c r="C66" s="174" t="s">
        <v>48</v>
      </c>
      <c r="D66" s="175">
        <v>29</v>
      </c>
      <c r="E66" s="175" t="s">
        <v>1</v>
      </c>
      <c r="F66" s="174">
        <v>23</v>
      </c>
      <c r="G66" s="268">
        <f t="shared" si="5"/>
        <v>0.7931034482758621</v>
      </c>
      <c r="H66" s="306"/>
      <c r="I66" s="69"/>
      <c r="J66" s="303">
        <f t="shared" si="7"/>
        <v>39.62033023077903</v>
      </c>
      <c r="K66" s="303">
        <f t="shared" si="7"/>
        <v>49.52541278847379</v>
      </c>
      <c r="L66" s="303">
        <f t="shared" si="7"/>
        <v>59.430495346168556</v>
      </c>
      <c r="M66" s="303">
        <f t="shared" si="7"/>
        <v>69.3355779038633</v>
      </c>
      <c r="N66" s="303">
        <f t="shared" si="7"/>
        <v>79.24066046155806</v>
      </c>
      <c r="O66" s="303">
        <f t="shared" si="7"/>
        <v>89.14574301925282</v>
      </c>
      <c r="P66" s="303">
        <f t="shared" si="7"/>
        <v>99.05082557694757</v>
      </c>
      <c r="Q66" s="303">
        <f t="shared" si="7"/>
        <v>108.95590813464234</v>
      </c>
      <c r="R66" s="303">
        <f t="shared" si="7"/>
        <v>118.86099069233711</v>
      </c>
      <c r="S66" s="303">
        <f t="shared" si="7"/>
        <v>128.76607325003187</v>
      </c>
      <c r="T66" s="303">
        <f t="shared" si="7"/>
        <v>138.6711558077266</v>
      </c>
      <c r="U66" s="303">
        <f t="shared" si="7"/>
        <v>148.57623836542135</v>
      </c>
      <c r="V66" s="303">
        <f t="shared" si="7"/>
        <v>158.48132092311613</v>
      </c>
      <c r="W66" s="311">
        <f t="shared" si="7"/>
        <v>168.38640348081088</v>
      </c>
    </row>
    <row r="67" spans="2:23" ht="12.75">
      <c r="B67" s="65"/>
      <c r="C67" s="174" t="s">
        <v>5</v>
      </c>
      <c r="D67" s="175">
        <v>29</v>
      </c>
      <c r="E67" s="175" t="s">
        <v>1</v>
      </c>
      <c r="F67" s="174">
        <v>22</v>
      </c>
      <c r="G67" s="268">
        <f t="shared" si="5"/>
        <v>0.7586206896551724</v>
      </c>
      <c r="H67" s="305"/>
      <c r="I67" s="69"/>
      <c r="J67" s="303">
        <f t="shared" si="7"/>
        <v>41.42125433217807</v>
      </c>
      <c r="K67" s="303">
        <f t="shared" si="7"/>
        <v>51.77656791522261</v>
      </c>
      <c r="L67" s="303">
        <f t="shared" si="7"/>
        <v>62.131881498267134</v>
      </c>
      <c r="M67" s="303">
        <f t="shared" si="7"/>
        <v>72.48719508131164</v>
      </c>
      <c r="N67" s="303">
        <f t="shared" si="7"/>
        <v>82.84250866435615</v>
      </c>
      <c r="O67" s="303">
        <f t="shared" si="7"/>
        <v>93.19782224740071</v>
      </c>
      <c r="P67" s="303">
        <f t="shared" si="7"/>
        <v>103.55313583044521</v>
      </c>
      <c r="Q67" s="303">
        <f t="shared" si="7"/>
        <v>113.90844941348973</v>
      </c>
      <c r="R67" s="303">
        <f t="shared" si="7"/>
        <v>124.26376299653427</v>
      </c>
      <c r="S67" s="303">
        <f t="shared" si="7"/>
        <v>134.61907657957877</v>
      </c>
      <c r="T67" s="303">
        <f t="shared" si="7"/>
        <v>144.97439016262328</v>
      </c>
      <c r="U67" s="303">
        <f t="shared" si="7"/>
        <v>155.32970374566779</v>
      </c>
      <c r="V67" s="303">
        <f t="shared" si="7"/>
        <v>165.6850173287123</v>
      </c>
      <c r="W67" s="311">
        <f t="shared" si="7"/>
        <v>176.04033091175685</v>
      </c>
    </row>
    <row r="68" spans="2:23" ht="12.75">
      <c r="B68" s="65"/>
      <c r="C68" s="274" t="s">
        <v>116</v>
      </c>
      <c r="D68" s="171">
        <v>30</v>
      </c>
      <c r="E68" s="171" t="s">
        <v>1</v>
      </c>
      <c r="F68" s="170">
        <v>22</v>
      </c>
      <c r="G68" s="266">
        <f t="shared" si="5"/>
        <v>0.7333333333333333</v>
      </c>
      <c r="H68" s="304" t="s">
        <v>118</v>
      </c>
      <c r="I68" s="69"/>
      <c r="J68" s="303">
        <f t="shared" si="7"/>
        <v>42.84957344708078</v>
      </c>
      <c r="K68" s="303">
        <f t="shared" si="7"/>
        <v>53.561966808850975</v>
      </c>
      <c r="L68" s="303">
        <f t="shared" si="7"/>
        <v>64.27436017062116</v>
      </c>
      <c r="M68" s="303">
        <f t="shared" si="7"/>
        <v>74.98675353239136</v>
      </c>
      <c r="N68" s="303">
        <f t="shared" si="7"/>
        <v>85.69914689416156</v>
      </c>
      <c r="O68" s="303">
        <f t="shared" si="7"/>
        <v>96.41154025593177</v>
      </c>
      <c r="P68" s="303">
        <f t="shared" si="7"/>
        <v>107.12393361770195</v>
      </c>
      <c r="Q68" s="303">
        <f t="shared" si="7"/>
        <v>117.83632697947216</v>
      </c>
      <c r="R68" s="303">
        <f t="shared" si="7"/>
        <v>128.54872034124233</v>
      </c>
      <c r="S68" s="303">
        <f t="shared" si="7"/>
        <v>139.26111370301254</v>
      </c>
      <c r="T68" s="303">
        <f t="shared" si="7"/>
        <v>149.97350706478272</v>
      </c>
      <c r="U68" s="303">
        <f t="shared" si="7"/>
        <v>160.68590042655293</v>
      </c>
      <c r="V68" s="303">
        <f t="shared" si="7"/>
        <v>171.39829378832312</v>
      </c>
      <c r="W68" s="311">
        <f t="shared" si="7"/>
        <v>182.11068715009333</v>
      </c>
    </row>
    <row r="69" spans="2:23" ht="12.75">
      <c r="B69" s="65"/>
      <c r="C69" s="174" t="s">
        <v>49</v>
      </c>
      <c r="D69" s="175">
        <v>31</v>
      </c>
      <c r="E69" s="175" t="s">
        <v>1</v>
      </c>
      <c r="F69" s="174">
        <v>22</v>
      </c>
      <c r="G69" s="268">
        <f t="shared" si="5"/>
        <v>0.7096774193548387</v>
      </c>
      <c r="H69" s="80"/>
      <c r="I69" s="338" t="s">
        <v>113</v>
      </c>
      <c r="J69" s="348">
        <f t="shared" si="7"/>
        <v>44.277892561983464</v>
      </c>
      <c r="K69" s="244">
        <f t="shared" si="7"/>
        <v>55.34736570247933</v>
      </c>
      <c r="L69" s="244">
        <f t="shared" si="7"/>
        <v>66.4168388429752</v>
      </c>
      <c r="M69" s="244">
        <f t="shared" si="7"/>
        <v>77.48631198347107</v>
      </c>
      <c r="N69" s="244">
        <f t="shared" si="7"/>
        <v>88.55578512396693</v>
      </c>
      <c r="O69" s="244">
        <f t="shared" si="7"/>
        <v>99.6252582644628</v>
      </c>
      <c r="P69" s="244">
        <f t="shared" si="7"/>
        <v>110.69473140495866</v>
      </c>
      <c r="Q69" s="244">
        <f t="shared" si="7"/>
        <v>121.76420454545455</v>
      </c>
      <c r="R69" s="244">
        <f t="shared" si="7"/>
        <v>132.8336776859504</v>
      </c>
      <c r="S69" s="244">
        <f t="shared" si="7"/>
        <v>143.90315082644628</v>
      </c>
      <c r="T69" s="244">
        <f t="shared" si="7"/>
        <v>154.97262396694214</v>
      </c>
      <c r="U69" s="244">
        <f t="shared" si="7"/>
        <v>166.042097107438</v>
      </c>
      <c r="V69" s="244">
        <f t="shared" si="7"/>
        <v>177.11157024793386</v>
      </c>
      <c r="W69" s="245">
        <f t="shared" si="7"/>
        <v>188.1810433884297</v>
      </c>
    </row>
    <row r="70" spans="2:23" ht="12.75">
      <c r="B70" s="65"/>
      <c r="C70" s="339" t="s">
        <v>178</v>
      </c>
      <c r="D70" s="340">
        <v>30</v>
      </c>
      <c r="E70" s="340" t="s">
        <v>1</v>
      </c>
      <c r="F70" s="339">
        <v>21</v>
      </c>
      <c r="G70" s="341">
        <f>F70/D70</f>
        <v>0.7</v>
      </c>
      <c r="H70" s="304" t="s">
        <v>118</v>
      </c>
      <c r="I70" s="68"/>
      <c r="J70" s="349">
        <f t="shared" si="7"/>
        <v>44.89002932551319</v>
      </c>
      <c r="K70" s="303">
        <f t="shared" si="7"/>
        <v>56.11253665689149</v>
      </c>
      <c r="L70" s="303">
        <f t="shared" si="7"/>
        <v>67.33504398826979</v>
      </c>
      <c r="M70" s="303">
        <f t="shared" si="7"/>
        <v>78.5575513196481</v>
      </c>
      <c r="N70" s="303">
        <f t="shared" si="7"/>
        <v>89.78005865102638</v>
      </c>
      <c r="O70" s="303">
        <f t="shared" si="7"/>
        <v>101.0025659824047</v>
      </c>
      <c r="P70" s="303">
        <f t="shared" si="7"/>
        <v>112.22507331378299</v>
      </c>
      <c r="Q70" s="303">
        <f t="shared" si="7"/>
        <v>123.44758064516128</v>
      </c>
      <c r="R70" s="303">
        <f t="shared" si="7"/>
        <v>134.67008797653958</v>
      </c>
      <c r="S70" s="303">
        <f t="shared" si="7"/>
        <v>145.8925953079179</v>
      </c>
      <c r="T70" s="303">
        <f t="shared" si="7"/>
        <v>157.1151026392962</v>
      </c>
      <c r="U70" s="303">
        <f t="shared" si="7"/>
        <v>168.3376099706745</v>
      </c>
      <c r="V70" s="303">
        <f t="shared" si="7"/>
        <v>179.56011730205276</v>
      </c>
      <c r="W70" s="311">
        <f t="shared" si="7"/>
        <v>190.78262463343106</v>
      </c>
    </row>
    <row r="71" spans="2:23" ht="12.75">
      <c r="B71" s="65"/>
      <c r="C71" s="339" t="s">
        <v>181</v>
      </c>
      <c r="D71" s="340">
        <v>31</v>
      </c>
      <c r="E71" s="340" t="s">
        <v>1</v>
      </c>
      <c r="F71" s="339">
        <v>21</v>
      </c>
      <c r="G71" s="341">
        <f>F71/D71</f>
        <v>0.6774193548387096</v>
      </c>
      <c r="H71" s="304" t="s">
        <v>118</v>
      </c>
      <c r="I71" s="68"/>
      <c r="J71" s="349">
        <f t="shared" si="7"/>
        <v>46.38636363636364</v>
      </c>
      <c r="K71" s="303">
        <f t="shared" si="7"/>
        <v>57.98295454545455</v>
      </c>
      <c r="L71" s="303">
        <f t="shared" si="7"/>
        <v>69.57954545454544</v>
      </c>
      <c r="M71" s="303">
        <f t="shared" si="7"/>
        <v>81.17613636363636</v>
      </c>
      <c r="N71" s="303">
        <f t="shared" si="7"/>
        <v>92.77272727272728</v>
      </c>
      <c r="O71" s="303">
        <f t="shared" si="7"/>
        <v>104.36931818181819</v>
      </c>
      <c r="P71" s="303">
        <f t="shared" si="7"/>
        <v>115.9659090909091</v>
      </c>
      <c r="Q71" s="303">
        <f t="shared" si="7"/>
        <v>127.5625</v>
      </c>
      <c r="R71" s="303">
        <f t="shared" si="7"/>
        <v>139.15909090909088</v>
      </c>
      <c r="S71" s="303">
        <f t="shared" si="7"/>
        <v>150.75568181818178</v>
      </c>
      <c r="T71" s="303">
        <f t="shared" si="7"/>
        <v>162.35227272727272</v>
      </c>
      <c r="U71" s="303">
        <f t="shared" si="7"/>
        <v>173.94886363636363</v>
      </c>
      <c r="V71" s="303">
        <f t="shared" si="7"/>
        <v>185.54545454545456</v>
      </c>
      <c r="W71" s="311">
        <f t="shared" si="7"/>
        <v>197.14204545454544</v>
      </c>
    </row>
    <row r="72" spans="2:23" ht="12.75">
      <c r="B72" s="65"/>
      <c r="C72" s="339" t="s">
        <v>182</v>
      </c>
      <c r="D72" s="340">
        <v>31</v>
      </c>
      <c r="E72" s="340" t="s">
        <v>1</v>
      </c>
      <c r="F72" s="339">
        <v>20</v>
      </c>
      <c r="G72" s="341">
        <f>F72/D72</f>
        <v>0.6451612903225806</v>
      </c>
      <c r="H72" s="304" t="s">
        <v>118</v>
      </c>
      <c r="I72" s="68"/>
      <c r="J72" s="349">
        <f t="shared" si="7"/>
        <v>48.705681818181816</v>
      </c>
      <c r="K72" s="303">
        <f t="shared" si="7"/>
        <v>60.88210227272727</v>
      </c>
      <c r="L72" s="303">
        <f t="shared" si="7"/>
        <v>73.05852272727273</v>
      </c>
      <c r="M72" s="303">
        <f t="shared" si="7"/>
        <v>85.23494318181818</v>
      </c>
      <c r="N72" s="303">
        <f t="shared" si="7"/>
        <v>97.41136363636363</v>
      </c>
      <c r="O72" s="303">
        <f t="shared" si="7"/>
        <v>109.5877840909091</v>
      </c>
      <c r="P72" s="303">
        <f t="shared" si="7"/>
        <v>121.76420454545455</v>
      </c>
      <c r="Q72" s="303">
        <f t="shared" si="7"/>
        <v>133.940625</v>
      </c>
      <c r="R72" s="303">
        <f t="shared" si="7"/>
        <v>146.11704545454546</v>
      </c>
      <c r="S72" s="303">
        <f t="shared" si="7"/>
        <v>158.2934659090909</v>
      </c>
      <c r="T72" s="303">
        <f t="shared" si="7"/>
        <v>170.46988636363636</v>
      </c>
      <c r="U72" s="303">
        <f t="shared" si="7"/>
        <v>182.6463068181818</v>
      </c>
      <c r="V72" s="303">
        <f t="shared" si="7"/>
        <v>194.82272727272726</v>
      </c>
      <c r="W72" s="311">
        <f t="shared" si="7"/>
        <v>206.9991477272727</v>
      </c>
    </row>
    <row r="73" spans="2:23" ht="12.75">
      <c r="B73" s="65"/>
      <c r="C73" s="339" t="s">
        <v>183</v>
      </c>
      <c r="D73" s="340">
        <v>31</v>
      </c>
      <c r="E73" s="340" t="s">
        <v>1</v>
      </c>
      <c r="F73" s="339">
        <v>19</v>
      </c>
      <c r="G73" s="341">
        <f>F73/D73</f>
        <v>0.6129032258064516</v>
      </c>
      <c r="H73" s="304" t="s">
        <v>118</v>
      </c>
      <c r="I73" s="68"/>
      <c r="J73" s="349">
        <f t="shared" si="7"/>
        <v>51.269138755980855</v>
      </c>
      <c r="K73" s="303">
        <f t="shared" si="7"/>
        <v>64.08642344497608</v>
      </c>
      <c r="L73" s="303">
        <f t="shared" si="7"/>
        <v>76.9037081339713</v>
      </c>
      <c r="M73" s="303">
        <f t="shared" si="7"/>
        <v>89.72099282296651</v>
      </c>
      <c r="N73" s="303">
        <f t="shared" si="7"/>
        <v>102.53827751196171</v>
      </c>
      <c r="O73" s="303">
        <f t="shared" si="7"/>
        <v>115.35556220095692</v>
      </c>
      <c r="P73" s="303">
        <f t="shared" si="7"/>
        <v>128.17284688995215</v>
      </c>
      <c r="Q73" s="303">
        <f t="shared" si="7"/>
        <v>140.99013157894734</v>
      </c>
      <c r="R73" s="303">
        <f t="shared" si="7"/>
        <v>153.8074162679426</v>
      </c>
      <c r="S73" s="303">
        <f t="shared" si="7"/>
        <v>166.6247009569378</v>
      </c>
      <c r="T73" s="303">
        <f t="shared" si="7"/>
        <v>179.44198564593302</v>
      </c>
      <c r="U73" s="303">
        <f t="shared" si="7"/>
        <v>192.25927033492823</v>
      </c>
      <c r="V73" s="303">
        <f t="shared" si="7"/>
        <v>205.07655502392342</v>
      </c>
      <c r="W73" s="311">
        <f t="shared" si="7"/>
        <v>217.89383971291866</v>
      </c>
    </row>
    <row r="74" spans="2:23" ht="13.5" thickBot="1">
      <c r="B74" s="77"/>
      <c r="C74" s="342" t="s">
        <v>174</v>
      </c>
      <c r="D74" s="343">
        <v>32</v>
      </c>
      <c r="E74" s="343" t="s">
        <v>1</v>
      </c>
      <c r="F74" s="342">
        <v>19</v>
      </c>
      <c r="G74" s="344">
        <f t="shared" si="5"/>
        <v>0.59375</v>
      </c>
      <c r="H74" s="345" t="s">
        <v>118</v>
      </c>
      <c r="I74" s="78"/>
      <c r="J74" s="350">
        <f t="shared" si="7"/>
        <v>52.92298194165766</v>
      </c>
      <c r="K74" s="346">
        <f t="shared" si="7"/>
        <v>66.15372742707207</v>
      </c>
      <c r="L74" s="346">
        <f t="shared" si="7"/>
        <v>79.38447291248647</v>
      </c>
      <c r="M74" s="346">
        <f t="shared" si="7"/>
        <v>92.6152183979009</v>
      </c>
      <c r="N74" s="346">
        <f t="shared" si="7"/>
        <v>105.84596388331532</v>
      </c>
      <c r="O74" s="346">
        <f t="shared" si="7"/>
        <v>119.07670936872972</v>
      </c>
      <c r="P74" s="346">
        <f t="shared" si="7"/>
        <v>132.30745485414414</v>
      </c>
      <c r="Q74" s="346">
        <f t="shared" si="7"/>
        <v>145.53820033955856</v>
      </c>
      <c r="R74" s="346">
        <f t="shared" si="7"/>
        <v>158.76894582497295</v>
      </c>
      <c r="S74" s="346">
        <f t="shared" si="7"/>
        <v>171.9996913103874</v>
      </c>
      <c r="T74" s="346">
        <f t="shared" si="7"/>
        <v>185.2304367958018</v>
      </c>
      <c r="U74" s="346">
        <f t="shared" si="7"/>
        <v>198.46118228121625</v>
      </c>
      <c r="V74" s="346">
        <f t="shared" si="7"/>
        <v>211.69192776663064</v>
      </c>
      <c r="W74" s="347">
        <f t="shared" si="7"/>
        <v>224.92267325204503</v>
      </c>
    </row>
    <row r="81" ht="12.75">
      <c r="N81" t="s">
        <v>22</v>
      </c>
    </row>
  </sheetData>
  <sheetProtection/>
  <mergeCells count="1">
    <mergeCell ref="B10:G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26"/>
  <sheetViews>
    <sheetView showGridLines="0" zoomScalePageLayoutView="0" workbookViewId="0" topLeftCell="A1">
      <pane xSplit="7" topLeftCell="I1" activePane="topRight" state="frozen"/>
      <selection pane="topLeft" activeCell="A1" sqref="A1"/>
      <selection pane="topRight" activeCell="T30" sqref="T30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6.375" style="0" customWidth="1"/>
    <col min="4" max="4" width="4.75390625" style="0" customWidth="1"/>
    <col min="5" max="5" width="1.37890625" style="0" customWidth="1"/>
    <col min="6" max="6" width="4.875" style="0" customWidth="1"/>
    <col min="8" max="28" width="5.75390625" style="0" customWidth="1"/>
    <col min="29" max="29" width="6.875" style="0" customWidth="1"/>
    <col min="30" max="30" width="5.75390625" style="0" customWidth="1"/>
  </cols>
  <sheetData>
    <row r="1" ht="12.75">
      <c r="B1" t="str">
        <f>'901 Gear Ratio Model'!B1</f>
        <v>05/17/08 - 914 901 Gear Ratio Sheet - Greg Braun (race914 )</v>
      </c>
    </row>
    <row r="3" ht="13.5" thickBot="1"/>
    <row r="4" spans="2:30" ht="13.5" customHeight="1">
      <c r="B4" s="281" t="s">
        <v>154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2"/>
      <c r="R4" s="282"/>
      <c r="S4" s="282"/>
      <c r="T4" s="282"/>
      <c r="U4" s="282"/>
      <c r="V4" s="282"/>
      <c r="W4" s="282"/>
      <c r="X4" s="282"/>
      <c r="Y4" s="283"/>
      <c r="Z4" s="283"/>
      <c r="AA4" s="283"/>
      <c r="AB4" s="283"/>
      <c r="AC4" s="283"/>
      <c r="AD4" s="283"/>
    </row>
    <row r="5" spans="2:30" ht="13.5" customHeight="1">
      <c r="B5" s="357" t="s">
        <v>30</v>
      </c>
      <c r="C5" s="307" t="s">
        <v>31</v>
      </c>
      <c r="D5" s="167">
        <v>19</v>
      </c>
      <c r="E5" s="167" t="s">
        <v>1</v>
      </c>
      <c r="F5" s="166">
        <v>32</v>
      </c>
      <c r="G5" s="264">
        <f aca="true" t="shared" si="0" ref="G5:G18">F5/D5</f>
        <v>1.6842105263157894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330"/>
      <c r="Z5" s="297"/>
      <c r="AA5" s="297"/>
      <c r="AB5" s="297"/>
      <c r="AC5" s="297"/>
      <c r="AD5" s="270" t="s">
        <v>114</v>
      </c>
    </row>
    <row r="6" spans="2:30" ht="13.5" customHeight="1">
      <c r="B6" s="358"/>
      <c r="C6" s="308" t="s">
        <v>82</v>
      </c>
      <c r="D6" s="169">
        <v>19</v>
      </c>
      <c r="E6" s="169" t="s">
        <v>1</v>
      </c>
      <c r="F6" s="168">
        <v>31</v>
      </c>
      <c r="G6" s="265">
        <f t="shared" si="0"/>
        <v>1.631578947368421</v>
      </c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330"/>
      <c r="Z6" s="297"/>
      <c r="AA6" s="297"/>
      <c r="AB6" s="297"/>
      <c r="AC6" s="270" t="s">
        <v>114</v>
      </c>
      <c r="AD6" s="297"/>
    </row>
    <row r="7" spans="2:30" ht="13.5" customHeight="1">
      <c r="B7" s="358"/>
      <c r="C7" s="308" t="s">
        <v>32</v>
      </c>
      <c r="D7" s="169">
        <v>20</v>
      </c>
      <c r="E7" s="169" t="s">
        <v>1</v>
      </c>
      <c r="F7" s="168">
        <v>31</v>
      </c>
      <c r="G7" s="265">
        <f t="shared" si="0"/>
        <v>1.55</v>
      </c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330"/>
      <c r="Z7" s="297"/>
      <c r="AA7" s="297"/>
      <c r="AB7" s="270" t="s">
        <v>114</v>
      </c>
      <c r="AC7" s="297"/>
      <c r="AD7" s="297"/>
    </row>
    <row r="8" spans="2:30" ht="13.5" customHeight="1">
      <c r="B8" s="358"/>
      <c r="C8" s="308" t="s">
        <v>33</v>
      </c>
      <c r="D8" s="169">
        <v>21</v>
      </c>
      <c r="E8" s="169" t="s">
        <v>1</v>
      </c>
      <c r="F8" s="168">
        <v>31</v>
      </c>
      <c r="G8" s="265">
        <f t="shared" si="0"/>
        <v>1.4761904761904763</v>
      </c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330"/>
      <c r="Z8" s="297"/>
      <c r="AA8" s="270" t="s">
        <v>114</v>
      </c>
      <c r="AB8" s="297"/>
      <c r="AC8" s="297"/>
      <c r="AD8" s="297"/>
    </row>
    <row r="9" spans="2:30" ht="13.5" customHeight="1">
      <c r="B9" s="358"/>
      <c r="C9" s="308" t="s">
        <v>34</v>
      </c>
      <c r="D9" s="169">
        <v>21</v>
      </c>
      <c r="E9" s="169" t="s">
        <v>1</v>
      </c>
      <c r="F9" s="168">
        <v>30</v>
      </c>
      <c r="G9" s="265">
        <f t="shared" si="0"/>
        <v>1.4285714285714286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30"/>
      <c r="Z9" s="270" t="s">
        <v>114</v>
      </c>
      <c r="AA9" s="297"/>
      <c r="AB9" s="297"/>
      <c r="AC9" s="297"/>
      <c r="AD9" s="297"/>
    </row>
    <row r="10" spans="2:30" ht="13.5" customHeight="1">
      <c r="B10" s="358"/>
      <c r="C10" s="309" t="s">
        <v>58</v>
      </c>
      <c r="D10" s="175">
        <v>22</v>
      </c>
      <c r="E10" s="175" t="s">
        <v>1</v>
      </c>
      <c r="F10" s="174">
        <v>31</v>
      </c>
      <c r="G10" s="268">
        <f t="shared" si="0"/>
        <v>1.4090909090909092</v>
      </c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297"/>
      <c r="X10" s="297"/>
      <c r="Y10" s="334" t="s">
        <v>114</v>
      </c>
      <c r="Z10" s="297"/>
      <c r="AA10" s="297"/>
      <c r="AB10" s="297"/>
      <c r="AC10" s="297"/>
      <c r="AD10" s="297"/>
    </row>
    <row r="11" spans="2:30" ht="13.5" customHeight="1">
      <c r="B11" s="358"/>
      <c r="C11" s="308" t="s">
        <v>35</v>
      </c>
      <c r="D11" s="169">
        <v>22</v>
      </c>
      <c r="E11" s="169" t="s">
        <v>1</v>
      </c>
      <c r="F11" s="168">
        <v>30</v>
      </c>
      <c r="G11" s="265">
        <f t="shared" si="0"/>
        <v>1.3636363636363635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297"/>
      <c r="X11" s="270" t="s">
        <v>114</v>
      </c>
      <c r="Y11" s="330"/>
      <c r="Z11" s="297"/>
      <c r="AA11" s="297"/>
      <c r="AB11" s="297"/>
      <c r="AC11" s="297"/>
      <c r="AD11" s="297"/>
    </row>
    <row r="12" spans="2:30" ht="13.5" customHeight="1">
      <c r="B12" s="358"/>
      <c r="C12" s="308" t="s">
        <v>36</v>
      </c>
      <c r="D12" s="169">
        <v>22</v>
      </c>
      <c r="E12" s="169" t="s">
        <v>1</v>
      </c>
      <c r="F12" s="168">
        <v>29</v>
      </c>
      <c r="G12" s="265">
        <f t="shared" si="0"/>
        <v>1.3181818181818181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  <c r="W12" s="270" t="s">
        <v>114</v>
      </c>
      <c r="X12" s="297"/>
      <c r="Y12" s="330"/>
      <c r="Z12" s="297"/>
      <c r="AA12" s="297"/>
      <c r="AB12" s="297"/>
      <c r="AC12" s="297"/>
      <c r="AD12" s="297"/>
    </row>
    <row r="13" spans="2:30" ht="13.5" customHeight="1">
      <c r="B13" s="358"/>
      <c r="C13" s="308" t="s">
        <v>37</v>
      </c>
      <c r="D13" s="169">
        <v>23</v>
      </c>
      <c r="E13" s="169" t="s">
        <v>1</v>
      </c>
      <c r="F13" s="168">
        <v>29</v>
      </c>
      <c r="G13" s="265">
        <f t="shared" si="0"/>
        <v>1.2608695652173914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70" t="s">
        <v>114</v>
      </c>
      <c r="W13" s="297"/>
      <c r="X13" s="297"/>
      <c r="Y13" s="330"/>
      <c r="Z13" s="297"/>
      <c r="AA13" s="297"/>
      <c r="AB13" s="297"/>
      <c r="AC13" s="297"/>
      <c r="AD13" s="297"/>
    </row>
    <row r="14" spans="2:30" ht="13.5" customHeight="1">
      <c r="B14" s="358"/>
      <c r="C14" s="308" t="s">
        <v>3</v>
      </c>
      <c r="D14" s="169">
        <v>23</v>
      </c>
      <c r="E14" s="169" t="s">
        <v>1</v>
      </c>
      <c r="F14" s="168">
        <v>28</v>
      </c>
      <c r="G14" s="265">
        <f t="shared" si="0"/>
        <v>1.2173913043478262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70" t="s">
        <v>114</v>
      </c>
      <c r="V14" s="297"/>
      <c r="W14" s="297"/>
      <c r="X14" s="297"/>
      <c r="Y14" s="330"/>
      <c r="Z14" s="297"/>
      <c r="AA14" s="297"/>
      <c r="AB14" s="297"/>
      <c r="AC14" s="297"/>
      <c r="AD14" s="297"/>
    </row>
    <row r="15" spans="2:30" ht="13.5" customHeight="1">
      <c r="B15" s="358"/>
      <c r="C15" s="308" t="s">
        <v>38</v>
      </c>
      <c r="D15" s="169">
        <v>23</v>
      </c>
      <c r="E15" s="169" t="s">
        <v>1</v>
      </c>
      <c r="F15" s="168">
        <v>27</v>
      </c>
      <c r="G15" s="265">
        <f t="shared" si="0"/>
        <v>1.173913043478261</v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70" t="s">
        <v>114</v>
      </c>
      <c r="U15" s="297"/>
      <c r="V15" s="297"/>
      <c r="W15" s="297"/>
      <c r="X15" s="297"/>
      <c r="Y15" s="330"/>
      <c r="Z15" s="297"/>
      <c r="AA15" s="297"/>
      <c r="AB15" s="297"/>
      <c r="AC15" s="297"/>
      <c r="AD15" s="297"/>
    </row>
    <row r="16" spans="2:30" ht="13.5" customHeight="1">
      <c r="B16" s="358"/>
      <c r="C16" s="309" t="s">
        <v>41</v>
      </c>
      <c r="D16" s="175">
        <v>24</v>
      </c>
      <c r="E16" s="175" t="s">
        <v>1</v>
      </c>
      <c r="F16" s="174">
        <v>28</v>
      </c>
      <c r="G16" s="268">
        <f t="shared" si="0"/>
        <v>1.1666666666666667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70" t="s">
        <v>114</v>
      </c>
      <c r="T16" s="297"/>
      <c r="U16" s="297"/>
      <c r="V16" s="297"/>
      <c r="W16" s="297"/>
      <c r="X16" s="297"/>
      <c r="Y16" s="330"/>
      <c r="Z16" s="297"/>
      <c r="AA16" s="297"/>
      <c r="AB16" s="297"/>
      <c r="AC16" s="297"/>
      <c r="AD16" s="297"/>
    </row>
    <row r="17" spans="2:30" ht="13.5" customHeight="1">
      <c r="B17" s="358"/>
      <c r="C17" s="308" t="s">
        <v>23</v>
      </c>
      <c r="D17" s="169">
        <v>24</v>
      </c>
      <c r="E17" s="169" t="s">
        <v>1</v>
      </c>
      <c r="F17" s="168">
        <v>27</v>
      </c>
      <c r="G17" s="265">
        <f t="shared" si="0"/>
        <v>1.125</v>
      </c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70" t="s">
        <v>114</v>
      </c>
      <c r="S17" s="297"/>
      <c r="T17" s="297"/>
      <c r="U17" s="297"/>
      <c r="V17" s="297"/>
      <c r="W17" s="297"/>
      <c r="X17" s="297"/>
      <c r="Y17" s="330"/>
      <c r="Z17" s="297"/>
      <c r="AA17" s="297"/>
      <c r="AB17" s="297"/>
      <c r="AC17" s="297"/>
      <c r="AD17" s="297"/>
    </row>
    <row r="18" spans="2:30" ht="13.5" customHeight="1">
      <c r="B18" s="358"/>
      <c r="C18" s="310" t="s">
        <v>39</v>
      </c>
      <c r="D18" s="171">
        <v>25</v>
      </c>
      <c r="E18" s="171" t="s">
        <v>1</v>
      </c>
      <c r="F18" s="170">
        <v>27</v>
      </c>
      <c r="G18" s="266">
        <f t="shared" si="0"/>
        <v>1.08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6" t="s">
        <v>114</v>
      </c>
      <c r="R18" s="335"/>
      <c r="S18" s="335"/>
      <c r="T18" s="335"/>
      <c r="U18" s="335"/>
      <c r="V18" s="335"/>
      <c r="W18" s="335"/>
      <c r="X18" s="335"/>
      <c r="Y18" s="337"/>
      <c r="Z18" s="335"/>
      <c r="AA18" s="335"/>
      <c r="AB18" s="335"/>
      <c r="AC18" s="335"/>
      <c r="AD18" s="335"/>
    </row>
    <row r="19" spans="2:30" ht="13.5" customHeight="1">
      <c r="B19" s="293"/>
      <c r="C19" s="295"/>
      <c r="D19" s="295"/>
      <c r="E19" s="295"/>
      <c r="F19" s="295"/>
      <c r="G19" s="295"/>
      <c r="H19" s="277" t="s">
        <v>36</v>
      </c>
      <c r="I19" s="277" t="s">
        <v>37</v>
      </c>
      <c r="J19" s="277" t="s">
        <v>3</v>
      </c>
      <c r="K19" s="277" t="s">
        <v>38</v>
      </c>
      <c r="L19" s="277" t="s">
        <v>23</v>
      </c>
      <c r="M19" s="277" t="s">
        <v>39</v>
      </c>
      <c r="N19" s="277" t="s">
        <v>42</v>
      </c>
      <c r="O19" s="277" t="s">
        <v>43</v>
      </c>
      <c r="P19" s="277" t="s">
        <v>44</v>
      </c>
      <c r="Q19" s="277" t="s">
        <v>4</v>
      </c>
      <c r="R19" s="277" t="s">
        <v>45</v>
      </c>
      <c r="S19" s="277" t="s">
        <v>46</v>
      </c>
      <c r="T19" s="285" t="s">
        <v>115</v>
      </c>
      <c r="U19" s="277" t="s">
        <v>47</v>
      </c>
      <c r="V19" s="277" t="s">
        <v>48</v>
      </c>
      <c r="W19" s="286" t="s">
        <v>5</v>
      </c>
      <c r="X19" s="285" t="s">
        <v>116</v>
      </c>
      <c r="Y19" s="277" t="s">
        <v>49</v>
      </c>
      <c r="Z19" s="288" t="s">
        <v>178</v>
      </c>
      <c r="AA19" s="288" t="s">
        <v>181</v>
      </c>
      <c r="AB19" s="288" t="s">
        <v>182</v>
      </c>
      <c r="AC19" s="288" t="s">
        <v>183</v>
      </c>
      <c r="AD19" s="288" t="s">
        <v>174</v>
      </c>
    </row>
    <row r="20" spans="2:30" ht="13.5" customHeight="1">
      <c r="B20" s="293"/>
      <c r="C20" s="295"/>
      <c r="D20" s="295"/>
      <c r="E20" s="295"/>
      <c r="F20" s="295"/>
      <c r="G20" s="295"/>
      <c r="H20" s="277">
        <v>22</v>
      </c>
      <c r="I20" s="277">
        <v>23</v>
      </c>
      <c r="J20" s="277">
        <v>23</v>
      </c>
      <c r="K20" s="277">
        <v>23</v>
      </c>
      <c r="L20" s="277">
        <v>24</v>
      </c>
      <c r="M20" s="277">
        <v>25</v>
      </c>
      <c r="N20" s="277">
        <v>25</v>
      </c>
      <c r="O20" s="277">
        <v>26</v>
      </c>
      <c r="P20" s="277">
        <v>26</v>
      </c>
      <c r="Q20" s="277">
        <v>27</v>
      </c>
      <c r="R20" s="277">
        <v>27</v>
      </c>
      <c r="S20" s="277">
        <v>28</v>
      </c>
      <c r="T20" s="288">
        <v>27</v>
      </c>
      <c r="U20" s="277">
        <v>28</v>
      </c>
      <c r="V20" s="277">
        <v>29</v>
      </c>
      <c r="W20" s="277">
        <v>29</v>
      </c>
      <c r="X20" s="288">
        <v>30</v>
      </c>
      <c r="Y20" s="277">
        <v>31</v>
      </c>
      <c r="Z20" s="288">
        <v>30</v>
      </c>
      <c r="AA20" s="288">
        <v>31</v>
      </c>
      <c r="AB20" s="288">
        <v>31</v>
      </c>
      <c r="AC20" s="288">
        <v>31</v>
      </c>
      <c r="AD20" s="288">
        <v>32</v>
      </c>
    </row>
    <row r="21" spans="2:30" ht="13.5" customHeight="1">
      <c r="B21" s="293"/>
      <c r="C21" s="295"/>
      <c r="D21" s="295"/>
      <c r="E21" s="295"/>
      <c r="F21" s="295"/>
      <c r="G21" s="295"/>
      <c r="H21" s="277">
        <v>29</v>
      </c>
      <c r="I21" s="277">
        <v>29</v>
      </c>
      <c r="J21" s="277">
        <v>28</v>
      </c>
      <c r="K21" s="277">
        <v>27</v>
      </c>
      <c r="L21" s="277">
        <v>27</v>
      </c>
      <c r="M21" s="277">
        <v>27</v>
      </c>
      <c r="N21" s="277">
        <v>26</v>
      </c>
      <c r="O21" s="277">
        <v>26</v>
      </c>
      <c r="P21" s="277">
        <v>25</v>
      </c>
      <c r="Q21" s="277">
        <v>25</v>
      </c>
      <c r="R21" s="277">
        <v>24</v>
      </c>
      <c r="S21" s="277">
        <v>24</v>
      </c>
      <c r="T21" s="288">
        <v>23</v>
      </c>
      <c r="U21" s="277">
        <v>23</v>
      </c>
      <c r="V21" s="277">
        <v>23</v>
      </c>
      <c r="W21" s="277">
        <v>22</v>
      </c>
      <c r="X21" s="288">
        <v>22</v>
      </c>
      <c r="Y21" s="277">
        <v>22</v>
      </c>
      <c r="Z21" s="288">
        <v>21</v>
      </c>
      <c r="AA21" s="288">
        <v>21</v>
      </c>
      <c r="AB21" s="288">
        <v>20</v>
      </c>
      <c r="AC21" s="288">
        <v>19</v>
      </c>
      <c r="AD21" s="288">
        <v>19</v>
      </c>
    </row>
    <row r="22" spans="2:30" ht="13.5" customHeight="1">
      <c r="B22" s="293"/>
      <c r="C22" s="295"/>
      <c r="D22" s="295"/>
      <c r="E22" s="295"/>
      <c r="F22" s="295"/>
      <c r="G22" s="295"/>
      <c r="H22" s="278">
        <f aca="true" t="shared" si="1" ref="H22:AD22">H21/H20</f>
        <v>1.3181818181818181</v>
      </c>
      <c r="I22" s="278">
        <f t="shared" si="1"/>
        <v>1.2608695652173914</v>
      </c>
      <c r="J22" s="278">
        <f t="shared" si="1"/>
        <v>1.2173913043478262</v>
      </c>
      <c r="K22" s="278">
        <f t="shared" si="1"/>
        <v>1.173913043478261</v>
      </c>
      <c r="L22" s="278">
        <f t="shared" si="1"/>
        <v>1.125</v>
      </c>
      <c r="M22" s="278">
        <f t="shared" si="1"/>
        <v>1.08</v>
      </c>
      <c r="N22" s="278">
        <f t="shared" si="1"/>
        <v>1.04</v>
      </c>
      <c r="O22" s="278">
        <f t="shared" si="1"/>
        <v>1</v>
      </c>
      <c r="P22" s="278">
        <f t="shared" si="1"/>
        <v>0.9615384615384616</v>
      </c>
      <c r="Q22" s="278">
        <f t="shared" si="1"/>
        <v>0.9259259259259259</v>
      </c>
      <c r="R22" s="278">
        <f t="shared" si="1"/>
        <v>0.8888888888888888</v>
      </c>
      <c r="S22" s="278">
        <f t="shared" si="1"/>
        <v>0.8571428571428571</v>
      </c>
      <c r="T22" s="289">
        <f t="shared" si="1"/>
        <v>0.8518518518518519</v>
      </c>
      <c r="U22" s="278">
        <f t="shared" si="1"/>
        <v>0.8214285714285714</v>
      </c>
      <c r="V22" s="278">
        <f t="shared" si="1"/>
        <v>0.7931034482758621</v>
      </c>
      <c r="W22" s="278">
        <f t="shared" si="1"/>
        <v>0.7586206896551724</v>
      </c>
      <c r="X22" s="289">
        <f t="shared" si="1"/>
        <v>0.7333333333333333</v>
      </c>
      <c r="Y22" s="278">
        <f t="shared" si="1"/>
        <v>0.7096774193548387</v>
      </c>
      <c r="Z22" s="289">
        <f t="shared" si="1"/>
        <v>0.7</v>
      </c>
      <c r="AA22" s="289">
        <f t="shared" si="1"/>
        <v>0.6774193548387096</v>
      </c>
      <c r="AB22" s="289">
        <f t="shared" si="1"/>
        <v>0.6451612903225806</v>
      </c>
      <c r="AC22" s="289">
        <f t="shared" si="1"/>
        <v>0.6129032258064516</v>
      </c>
      <c r="AD22" s="289">
        <f t="shared" si="1"/>
        <v>0.59375</v>
      </c>
    </row>
    <row r="23" spans="2:30" ht="20.25" customHeight="1" thickBot="1">
      <c r="B23" s="294"/>
      <c r="C23" s="296"/>
      <c r="D23" s="296"/>
      <c r="E23" s="296"/>
      <c r="F23" s="296"/>
      <c r="G23" s="296"/>
      <c r="H23" s="359" t="s">
        <v>40</v>
      </c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1"/>
      <c r="AA23" s="361"/>
      <c r="AB23" s="361"/>
      <c r="AC23" s="361"/>
      <c r="AD23" s="361"/>
    </row>
    <row r="25" spans="3:6" ht="12.75">
      <c r="C25" s="333" t="s">
        <v>179</v>
      </c>
      <c r="D25" s="331"/>
      <c r="E25" s="331"/>
      <c r="F25" s="331"/>
    </row>
    <row r="26" spans="3:6" ht="12.75">
      <c r="C26" s="332" t="s">
        <v>180</v>
      </c>
      <c r="D26" s="332"/>
      <c r="E26" s="332"/>
      <c r="F26" s="332"/>
    </row>
  </sheetData>
  <sheetProtection/>
  <mergeCells count="2">
    <mergeCell ref="B5:B18"/>
    <mergeCell ref="H23:AD23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showGridLines="0" zoomScalePageLayoutView="0" workbookViewId="0" topLeftCell="A1">
      <selection activeCell="I24" sqref="I24"/>
    </sheetView>
  </sheetViews>
  <sheetFormatPr defaultColWidth="11.375" defaultRowHeight="12.75"/>
  <cols>
    <col min="1" max="1" width="4.75390625" style="0" customWidth="1"/>
    <col min="2" max="2" width="18.125" style="0" customWidth="1"/>
    <col min="3" max="7" width="14.75390625" style="0" customWidth="1"/>
  </cols>
  <sheetData>
    <row r="1" ht="12.75">
      <c r="B1" t="str">
        <f>'901 Gear Ratio Model'!B1</f>
        <v>05/17/08 - 914 901 Gear Ratio Sheet - Greg Braun (race914 )</v>
      </c>
    </row>
    <row r="3" spans="2:7" ht="15.75">
      <c r="B3" s="321" t="s">
        <v>153</v>
      </c>
      <c r="C3" s="317"/>
      <c r="D3" s="317"/>
      <c r="E3" s="317"/>
      <c r="F3" s="317"/>
      <c r="G3" s="317"/>
    </row>
    <row r="4" ht="12.75">
      <c r="B4" t="s">
        <v>173</v>
      </c>
    </row>
    <row r="6" spans="2:7" ht="15">
      <c r="B6" s="299" t="s">
        <v>151</v>
      </c>
      <c r="C6" s="300" t="s">
        <v>143</v>
      </c>
      <c r="D6" s="300" t="s">
        <v>144</v>
      </c>
      <c r="E6" s="300" t="s">
        <v>145</v>
      </c>
      <c r="F6" s="300" t="s">
        <v>146</v>
      </c>
      <c r="G6" s="300" t="s">
        <v>147</v>
      </c>
    </row>
    <row r="7" spans="2:7" ht="14.25">
      <c r="B7" s="312" t="s">
        <v>120</v>
      </c>
      <c r="C7" s="312" t="s">
        <v>0</v>
      </c>
      <c r="D7" s="312" t="s">
        <v>82</v>
      </c>
      <c r="E7" s="312" t="s">
        <v>42</v>
      </c>
      <c r="F7" s="312" t="s">
        <v>48</v>
      </c>
      <c r="G7" s="312"/>
    </row>
    <row r="8" spans="2:7" ht="14.25">
      <c r="B8" s="312" t="s">
        <v>121</v>
      </c>
      <c r="C8" s="312" t="s">
        <v>0</v>
      </c>
      <c r="D8" s="312" t="s">
        <v>55</v>
      </c>
      <c r="E8" s="312" t="s">
        <v>36</v>
      </c>
      <c r="F8" s="312" t="s">
        <v>44</v>
      </c>
      <c r="G8" s="312" t="s">
        <v>49</v>
      </c>
    </row>
    <row r="9" spans="2:7" ht="14.25">
      <c r="B9" s="312" t="s">
        <v>122</v>
      </c>
      <c r="C9" s="312" t="s">
        <v>27</v>
      </c>
      <c r="D9" s="312" t="s">
        <v>56</v>
      </c>
      <c r="E9" s="312" t="s">
        <v>36</v>
      </c>
      <c r="F9" s="312" t="s">
        <v>43</v>
      </c>
      <c r="G9" s="312" t="s">
        <v>47</v>
      </c>
    </row>
    <row r="10" spans="2:7" ht="14.25">
      <c r="B10" s="312" t="s">
        <v>123</v>
      </c>
      <c r="C10" s="312" t="s">
        <v>26</v>
      </c>
      <c r="D10" s="312" t="s">
        <v>54</v>
      </c>
      <c r="E10" s="312" t="s">
        <v>32</v>
      </c>
      <c r="F10" s="312" t="s">
        <v>36</v>
      </c>
      <c r="G10" s="312" t="s">
        <v>3</v>
      </c>
    </row>
    <row r="11" spans="2:7" ht="14.25">
      <c r="B11" s="312" t="s">
        <v>124</v>
      </c>
      <c r="C11" s="312" t="s">
        <v>26</v>
      </c>
      <c r="D11" s="312" t="s">
        <v>55</v>
      </c>
      <c r="E11" s="312" t="s">
        <v>33</v>
      </c>
      <c r="F11" s="312" t="s">
        <v>3</v>
      </c>
      <c r="G11" s="312" t="s">
        <v>42</v>
      </c>
    </row>
    <row r="12" spans="2:7" ht="14.25">
      <c r="B12" s="312" t="s">
        <v>125</v>
      </c>
      <c r="C12" s="312" t="s">
        <v>28</v>
      </c>
      <c r="D12" s="312" t="s">
        <v>57</v>
      </c>
      <c r="E12" s="312" t="s">
        <v>3</v>
      </c>
      <c r="F12" s="312" t="s">
        <v>43</v>
      </c>
      <c r="G12" s="312" t="s">
        <v>47</v>
      </c>
    </row>
    <row r="13" spans="2:7" ht="14.25">
      <c r="B13" s="312" t="s">
        <v>126</v>
      </c>
      <c r="C13" s="312" t="s">
        <v>27</v>
      </c>
      <c r="D13" s="312" t="s">
        <v>57</v>
      </c>
      <c r="E13" s="312" t="s">
        <v>36</v>
      </c>
      <c r="F13" s="312" t="s">
        <v>39</v>
      </c>
      <c r="G13" s="312" t="s">
        <v>4</v>
      </c>
    </row>
    <row r="14" spans="2:7" ht="14.25">
      <c r="B14" s="312" t="s">
        <v>127</v>
      </c>
      <c r="C14" s="312" t="s">
        <v>0</v>
      </c>
      <c r="D14" s="312" t="s">
        <v>82</v>
      </c>
      <c r="E14" s="312" t="s">
        <v>42</v>
      </c>
      <c r="F14" s="312" t="s">
        <v>48</v>
      </c>
      <c r="G14" s="312"/>
    </row>
    <row r="15" spans="2:7" ht="14.25">
      <c r="B15" s="312" t="s">
        <v>128</v>
      </c>
      <c r="C15" s="312" t="s">
        <v>0</v>
      </c>
      <c r="D15" s="312" t="s">
        <v>55</v>
      </c>
      <c r="E15" s="312" t="s">
        <v>36</v>
      </c>
      <c r="F15" s="312" t="s">
        <v>44</v>
      </c>
      <c r="G15" s="312" t="s">
        <v>49</v>
      </c>
    </row>
    <row r="16" spans="2:7" ht="14.25">
      <c r="B16" s="312" t="s">
        <v>129</v>
      </c>
      <c r="C16" s="312" t="s">
        <v>27</v>
      </c>
      <c r="D16" s="312" t="s">
        <v>56</v>
      </c>
      <c r="E16" s="312" t="s">
        <v>36</v>
      </c>
      <c r="F16" s="312" t="s">
        <v>43</v>
      </c>
      <c r="G16" s="312" t="s">
        <v>47</v>
      </c>
    </row>
    <row r="17" spans="2:7" ht="14.25">
      <c r="B17" s="312" t="s">
        <v>130</v>
      </c>
      <c r="C17" s="312" t="s">
        <v>26</v>
      </c>
      <c r="D17" s="312" t="s">
        <v>54</v>
      </c>
      <c r="E17" s="312" t="s">
        <v>32</v>
      </c>
      <c r="F17" s="312" t="s">
        <v>36</v>
      </c>
      <c r="G17" s="312" t="s">
        <v>3</v>
      </c>
    </row>
    <row r="18" spans="2:7" ht="14.25">
      <c r="B18" s="312" t="s">
        <v>131</v>
      </c>
      <c r="C18" s="312" t="s">
        <v>26</v>
      </c>
      <c r="D18" s="312" t="s">
        <v>55</v>
      </c>
      <c r="E18" s="312" t="s">
        <v>33</v>
      </c>
      <c r="F18" s="312" t="s">
        <v>3</v>
      </c>
      <c r="G18" s="312" t="s">
        <v>42</v>
      </c>
    </row>
    <row r="19" spans="2:7" ht="14.25">
      <c r="B19" s="312" t="s">
        <v>132</v>
      </c>
      <c r="C19" s="312" t="s">
        <v>28</v>
      </c>
      <c r="D19" s="312" t="s">
        <v>57</v>
      </c>
      <c r="E19" s="312" t="s">
        <v>3</v>
      </c>
      <c r="F19" s="312" t="s">
        <v>43</v>
      </c>
      <c r="G19" s="312" t="s">
        <v>47</v>
      </c>
    </row>
    <row r="20" spans="2:7" ht="14.25">
      <c r="B20" s="312" t="s">
        <v>133</v>
      </c>
      <c r="C20" s="312" t="s">
        <v>27</v>
      </c>
      <c r="D20" s="312" t="s">
        <v>57</v>
      </c>
      <c r="E20" s="312" t="s">
        <v>36</v>
      </c>
      <c r="F20" s="312" t="s">
        <v>39</v>
      </c>
      <c r="G20" s="312" t="s">
        <v>4</v>
      </c>
    </row>
    <row r="21" spans="2:7" ht="14.25">
      <c r="B21" s="312"/>
      <c r="C21" s="312"/>
      <c r="D21" s="312"/>
      <c r="E21" s="312"/>
      <c r="F21" s="312"/>
      <c r="G21" s="312"/>
    </row>
    <row r="22" spans="2:7" ht="14.25">
      <c r="B22" s="312" t="s">
        <v>134</v>
      </c>
      <c r="C22" s="312" t="s">
        <v>0</v>
      </c>
      <c r="D22" s="312" t="s">
        <v>82</v>
      </c>
      <c r="E22" s="312" t="s">
        <v>42</v>
      </c>
      <c r="F22" s="312" t="s">
        <v>5</v>
      </c>
      <c r="G22" s="312"/>
    </row>
    <row r="23" spans="2:7" ht="14.25">
      <c r="B23" s="312" t="s">
        <v>135</v>
      </c>
      <c r="C23" s="312" t="s">
        <v>0</v>
      </c>
      <c r="D23" s="312" t="s">
        <v>56</v>
      </c>
      <c r="E23" s="312" t="s">
        <v>3</v>
      </c>
      <c r="F23" s="312" t="s">
        <v>4</v>
      </c>
      <c r="G23" s="312" t="s">
        <v>5</v>
      </c>
    </row>
    <row r="24" spans="2:7" ht="14.25">
      <c r="B24" s="312" t="s">
        <v>136</v>
      </c>
      <c r="C24" s="312" t="s">
        <v>27</v>
      </c>
      <c r="D24" s="312" t="s">
        <v>56</v>
      </c>
      <c r="E24" s="312" t="s">
        <v>36</v>
      </c>
      <c r="F24" s="312" t="s">
        <v>43</v>
      </c>
      <c r="G24" s="312" t="s">
        <v>47</v>
      </c>
    </row>
    <row r="25" spans="2:7" ht="14.25">
      <c r="B25" s="312" t="s">
        <v>137</v>
      </c>
      <c r="C25" s="312" t="s">
        <v>26</v>
      </c>
      <c r="D25" s="312" t="s">
        <v>54</v>
      </c>
      <c r="E25" s="312" t="s">
        <v>32</v>
      </c>
      <c r="F25" s="312" t="s">
        <v>36</v>
      </c>
      <c r="G25" s="312" t="s">
        <v>3</v>
      </c>
    </row>
    <row r="26" spans="2:7" ht="14.25">
      <c r="B26" s="312" t="s">
        <v>138</v>
      </c>
      <c r="C26" s="312" t="s">
        <v>26</v>
      </c>
      <c r="D26" s="312" t="s">
        <v>55</v>
      </c>
      <c r="E26" s="312" t="s">
        <v>33</v>
      </c>
      <c r="F26" s="312" t="s">
        <v>3</v>
      </c>
      <c r="G26" s="312" t="s">
        <v>42</v>
      </c>
    </row>
    <row r="27" spans="2:7" ht="14.25">
      <c r="B27" s="312" t="s">
        <v>139</v>
      </c>
      <c r="C27" s="312" t="s">
        <v>28</v>
      </c>
      <c r="D27" s="312" t="s">
        <v>57</v>
      </c>
      <c r="E27" s="312" t="s">
        <v>3</v>
      </c>
      <c r="F27" s="312" t="s">
        <v>43</v>
      </c>
      <c r="G27" s="312" t="s">
        <v>47</v>
      </c>
    </row>
    <row r="28" spans="2:7" ht="14.25">
      <c r="B28" s="312" t="s">
        <v>140</v>
      </c>
      <c r="C28" s="312" t="s">
        <v>27</v>
      </c>
      <c r="D28" s="312" t="s">
        <v>57</v>
      </c>
      <c r="E28" s="312" t="s">
        <v>36</v>
      </c>
      <c r="F28" s="312" t="s">
        <v>39</v>
      </c>
      <c r="G28" s="312" t="s">
        <v>4</v>
      </c>
    </row>
    <row r="29" spans="2:7" ht="14.25">
      <c r="B29" s="312"/>
      <c r="C29" s="312"/>
      <c r="D29" s="312"/>
      <c r="E29" s="312"/>
      <c r="F29" s="312"/>
      <c r="G29" s="312"/>
    </row>
    <row r="30" spans="2:8" ht="14.25">
      <c r="B30" s="312" t="s">
        <v>141</v>
      </c>
      <c r="C30" s="312" t="s">
        <v>0</v>
      </c>
      <c r="D30" s="312" t="s">
        <v>55</v>
      </c>
      <c r="E30" s="312" t="s">
        <v>37</v>
      </c>
      <c r="F30" s="312" t="s">
        <v>4</v>
      </c>
      <c r="G30" s="328" t="s">
        <v>49</v>
      </c>
      <c r="H30" s="329" t="s">
        <v>176</v>
      </c>
    </row>
    <row r="31" spans="2:8" ht="14.25">
      <c r="B31" s="312" t="s">
        <v>142</v>
      </c>
      <c r="C31" s="312" t="s">
        <v>0</v>
      </c>
      <c r="D31" s="312" t="s">
        <v>55</v>
      </c>
      <c r="E31" s="312" t="s">
        <v>37</v>
      </c>
      <c r="F31" s="312" t="s">
        <v>4</v>
      </c>
      <c r="G31" s="328" t="s">
        <v>49</v>
      </c>
      <c r="H31" s="329" t="s">
        <v>177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F25" sqref="F25"/>
    </sheetView>
  </sheetViews>
  <sheetFormatPr defaultColWidth="11.375" defaultRowHeight="12.75"/>
  <sheetData>
    <row r="1" spans="1:2" ht="12.75">
      <c r="A1" t="s">
        <v>60</v>
      </c>
      <c r="B1" t="s">
        <v>59</v>
      </c>
    </row>
    <row r="2" spans="1:2" ht="12.75">
      <c r="A2" t="s">
        <v>61</v>
      </c>
      <c r="B2" t="s">
        <v>62</v>
      </c>
    </row>
    <row r="3" spans="1:2" ht="12.75">
      <c r="A3" t="s">
        <v>64</v>
      </c>
      <c r="B3" t="s">
        <v>63</v>
      </c>
    </row>
    <row r="4" spans="1:2" ht="12.75">
      <c r="A4" t="s">
        <v>65</v>
      </c>
      <c r="B4" t="s">
        <v>66</v>
      </c>
    </row>
    <row r="8" spans="1:4" ht="12.75">
      <c r="A8" t="s">
        <v>67</v>
      </c>
      <c r="B8" t="s">
        <v>68</v>
      </c>
      <c r="D8">
        <f>'901 Gear Ratio Model'!N127*'901 Gear Ratio Model'!J92</f>
        <v>0</v>
      </c>
    </row>
    <row r="9" spans="1:4" ht="12.75">
      <c r="A9" t="s">
        <v>70</v>
      </c>
      <c r="B9" t="s">
        <v>71</v>
      </c>
      <c r="D9">
        <f>D8/'901 Gear Ratio Model'!G92/60</f>
        <v>0</v>
      </c>
    </row>
    <row r="10" spans="1:4" ht="12.75">
      <c r="A10" t="s">
        <v>69</v>
      </c>
      <c r="D10">
        <f>D9*'901 Gear Ratio Model'!G89*'901 Gear Ratio Model'!G83</f>
        <v>0</v>
      </c>
    </row>
    <row r="16" spans="1:3" ht="12.75">
      <c r="A16" t="s">
        <v>50</v>
      </c>
      <c r="B16" t="s">
        <v>51</v>
      </c>
      <c r="C16" t="s">
        <v>52</v>
      </c>
    </row>
    <row r="17" spans="1:4" ht="12.75">
      <c r="A17" t="s">
        <v>0</v>
      </c>
      <c r="B17">
        <v>11</v>
      </c>
      <c r="C17">
        <v>34</v>
      </c>
      <c r="D17" s="1">
        <f aca="true" t="shared" si="0" ref="D17:D49">ROUND(C17/B17,2)</f>
        <v>3.09</v>
      </c>
    </row>
    <row r="18" spans="1:4" ht="12.75">
      <c r="A18" t="s">
        <v>26</v>
      </c>
      <c r="B18">
        <v>12</v>
      </c>
      <c r="C18">
        <v>34</v>
      </c>
      <c r="D18" s="1">
        <f t="shared" si="0"/>
        <v>2.83</v>
      </c>
    </row>
    <row r="19" spans="1:4" ht="12.75">
      <c r="A19" t="s">
        <v>27</v>
      </c>
      <c r="B19">
        <v>14</v>
      </c>
      <c r="C19">
        <v>37</v>
      </c>
      <c r="D19" s="1">
        <f t="shared" si="0"/>
        <v>2.64</v>
      </c>
    </row>
    <row r="20" spans="1:4" ht="12.75">
      <c r="A20" t="s">
        <v>28</v>
      </c>
      <c r="B20">
        <v>15</v>
      </c>
      <c r="C20">
        <v>36</v>
      </c>
      <c r="D20" s="1">
        <f t="shared" si="0"/>
        <v>2.4</v>
      </c>
    </row>
    <row r="21" spans="1:4" ht="12.75">
      <c r="A21" t="s">
        <v>53</v>
      </c>
      <c r="B21">
        <v>16</v>
      </c>
      <c r="C21">
        <v>35</v>
      </c>
      <c r="D21" s="1">
        <f t="shared" si="0"/>
        <v>2.19</v>
      </c>
    </row>
    <row r="22" spans="1:4" ht="12.75">
      <c r="A22" t="s">
        <v>54</v>
      </c>
      <c r="B22">
        <v>17</v>
      </c>
      <c r="C22">
        <v>34</v>
      </c>
      <c r="D22" s="1">
        <f t="shared" si="0"/>
        <v>2</v>
      </c>
    </row>
    <row r="23" spans="1:4" ht="12.75">
      <c r="A23" t="s">
        <v>55</v>
      </c>
      <c r="B23">
        <v>18</v>
      </c>
      <c r="C23">
        <v>34</v>
      </c>
      <c r="D23" s="1">
        <f t="shared" si="0"/>
        <v>1.89</v>
      </c>
    </row>
    <row r="24" spans="1:4" ht="12.75">
      <c r="A24" t="s">
        <v>2</v>
      </c>
      <c r="B24">
        <v>18</v>
      </c>
      <c r="C24">
        <v>33</v>
      </c>
      <c r="D24" s="1">
        <f t="shared" si="0"/>
        <v>1.83</v>
      </c>
    </row>
    <row r="25" spans="1:4" ht="12.75">
      <c r="A25" t="s">
        <v>56</v>
      </c>
      <c r="B25">
        <v>18</v>
      </c>
      <c r="C25">
        <v>32</v>
      </c>
      <c r="D25" s="1">
        <f t="shared" si="0"/>
        <v>1.78</v>
      </c>
    </row>
    <row r="26" spans="1:4" ht="12.75">
      <c r="A26" t="s">
        <v>31</v>
      </c>
      <c r="B26">
        <v>19</v>
      </c>
      <c r="C26">
        <v>32</v>
      </c>
      <c r="D26" s="1">
        <f t="shared" si="0"/>
        <v>1.68</v>
      </c>
    </row>
    <row r="27" spans="1:4" ht="12.75">
      <c r="A27" t="s">
        <v>57</v>
      </c>
      <c r="B27">
        <v>20</v>
      </c>
      <c r="C27">
        <v>32</v>
      </c>
      <c r="D27" s="1">
        <f t="shared" si="0"/>
        <v>1.6</v>
      </c>
    </row>
    <row r="28" spans="1:4" ht="12.75">
      <c r="A28" t="s">
        <v>32</v>
      </c>
      <c r="B28">
        <v>20</v>
      </c>
      <c r="C28">
        <v>31</v>
      </c>
      <c r="D28" s="1">
        <f t="shared" si="0"/>
        <v>1.55</v>
      </c>
    </row>
    <row r="29" spans="1:4" ht="12.75">
      <c r="A29" t="s">
        <v>33</v>
      </c>
      <c r="B29">
        <v>21</v>
      </c>
      <c r="C29">
        <v>31</v>
      </c>
      <c r="D29" s="1">
        <f t="shared" si="0"/>
        <v>1.48</v>
      </c>
    </row>
    <row r="30" spans="1:4" ht="12.75">
      <c r="A30" t="s">
        <v>34</v>
      </c>
      <c r="B30">
        <v>21</v>
      </c>
      <c r="C30">
        <v>30</v>
      </c>
      <c r="D30" s="1">
        <f t="shared" si="0"/>
        <v>1.43</v>
      </c>
    </row>
    <row r="31" spans="1:4" ht="12.75">
      <c r="A31" t="s">
        <v>58</v>
      </c>
      <c r="B31">
        <v>22</v>
      </c>
      <c r="C31">
        <v>31</v>
      </c>
      <c r="D31" s="1">
        <f t="shared" si="0"/>
        <v>1.41</v>
      </c>
    </row>
    <row r="32" spans="1:4" ht="12.75">
      <c r="A32" t="s">
        <v>35</v>
      </c>
      <c r="B32">
        <v>22</v>
      </c>
      <c r="C32">
        <v>30</v>
      </c>
      <c r="D32" s="1">
        <f t="shared" si="0"/>
        <v>1.36</v>
      </c>
    </row>
    <row r="33" spans="1:4" ht="12.75">
      <c r="A33" t="s">
        <v>36</v>
      </c>
      <c r="B33">
        <v>22</v>
      </c>
      <c r="C33">
        <v>29</v>
      </c>
      <c r="D33" s="1">
        <f t="shared" si="0"/>
        <v>1.32</v>
      </c>
    </row>
    <row r="34" spans="1:4" ht="12.75">
      <c r="A34" t="s">
        <v>37</v>
      </c>
      <c r="B34">
        <v>23</v>
      </c>
      <c r="C34">
        <v>29</v>
      </c>
      <c r="D34" s="1">
        <f t="shared" si="0"/>
        <v>1.26</v>
      </c>
    </row>
    <row r="35" spans="1:4" ht="12.75">
      <c r="A35" t="s">
        <v>3</v>
      </c>
      <c r="B35">
        <v>23</v>
      </c>
      <c r="C35">
        <v>28</v>
      </c>
      <c r="D35" s="1">
        <f t="shared" si="0"/>
        <v>1.22</v>
      </c>
    </row>
    <row r="36" spans="1:4" ht="12.75">
      <c r="A36" t="s">
        <v>38</v>
      </c>
      <c r="B36">
        <v>23</v>
      </c>
      <c r="C36">
        <v>27</v>
      </c>
      <c r="D36" s="1">
        <f t="shared" si="0"/>
        <v>1.17</v>
      </c>
    </row>
    <row r="37" spans="1:4" ht="12.75">
      <c r="A37" t="s">
        <v>41</v>
      </c>
      <c r="B37">
        <v>24</v>
      </c>
      <c r="C37">
        <v>28</v>
      </c>
      <c r="D37" s="1">
        <f t="shared" si="0"/>
        <v>1.17</v>
      </c>
    </row>
    <row r="38" spans="1:4" ht="12.75">
      <c r="A38" t="s">
        <v>23</v>
      </c>
      <c r="B38">
        <v>24</v>
      </c>
      <c r="C38">
        <v>27</v>
      </c>
      <c r="D38" s="1">
        <f t="shared" si="0"/>
        <v>1.13</v>
      </c>
    </row>
    <row r="39" spans="1:4" ht="12.75">
      <c r="A39" t="s">
        <v>39</v>
      </c>
      <c r="B39">
        <v>25</v>
      </c>
      <c r="C39">
        <v>27</v>
      </c>
      <c r="D39" s="1">
        <f t="shared" si="0"/>
        <v>1.08</v>
      </c>
    </row>
    <row r="40" spans="1:4" ht="12.75">
      <c r="A40" t="s">
        <v>42</v>
      </c>
      <c r="B40">
        <v>25</v>
      </c>
      <c r="C40">
        <v>26</v>
      </c>
      <c r="D40" s="1">
        <f t="shared" si="0"/>
        <v>1.04</v>
      </c>
    </row>
    <row r="41" spans="1:4" ht="12.75">
      <c r="A41" t="s">
        <v>43</v>
      </c>
      <c r="B41">
        <v>26</v>
      </c>
      <c r="C41">
        <v>26</v>
      </c>
      <c r="D41" s="1">
        <f t="shared" si="0"/>
        <v>1</v>
      </c>
    </row>
    <row r="42" spans="1:4" ht="12.75">
      <c r="A42" t="s">
        <v>44</v>
      </c>
      <c r="B42">
        <v>26</v>
      </c>
      <c r="C42">
        <v>25</v>
      </c>
      <c r="D42" s="1">
        <f t="shared" si="0"/>
        <v>0.96</v>
      </c>
    </row>
    <row r="43" spans="1:4" ht="12.75">
      <c r="A43" t="s">
        <v>4</v>
      </c>
      <c r="B43">
        <v>27</v>
      </c>
      <c r="C43">
        <v>25</v>
      </c>
      <c r="D43" s="1">
        <f t="shared" si="0"/>
        <v>0.93</v>
      </c>
    </row>
    <row r="44" spans="1:4" ht="12.75">
      <c r="A44" t="s">
        <v>45</v>
      </c>
      <c r="B44">
        <v>27</v>
      </c>
      <c r="C44">
        <v>24</v>
      </c>
      <c r="D44" s="1">
        <f t="shared" si="0"/>
        <v>0.89</v>
      </c>
    </row>
    <row r="45" spans="1:4" ht="12.75">
      <c r="A45" t="s">
        <v>46</v>
      </c>
      <c r="B45">
        <v>28</v>
      </c>
      <c r="C45">
        <v>24</v>
      </c>
      <c r="D45" s="1">
        <f t="shared" si="0"/>
        <v>0.86</v>
      </c>
    </row>
    <row r="46" spans="1:4" ht="12.75">
      <c r="A46" t="s">
        <v>47</v>
      </c>
      <c r="B46">
        <v>28</v>
      </c>
      <c r="C46">
        <v>23</v>
      </c>
      <c r="D46" s="1">
        <f t="shared" si="0"/>
        <v>0.82</v>
      </c>
    </row>
    <row r="47" spans="1:4" ht="12.75">
      <c r="A47" t="s">
        <v>48</v>
      </c>
      <c r="B47">
        <v>29</v>
      </c>
      <c r="C47">
        <v>23</v>
      </c>
      <c r="D47" s="1">
        <f t="shared" si="0"/>
        <v>0.79</v>
      </c>
    </row>
    <row r="48" spans="1:4" ht="12.75">
      <c r="A48" t="s">
        <v>5</v>
      </c>
      <c r="B48">
        <v>29</v>
      </c>
      <c r="C48">
        <v>22</v>
      </c>
      <c r="D48" s="1">
        <f t="shared" si="0"/>
        <v>0.76</v>
      </c>
    </row>
    <row r="49" spans="1:4" ht="12.75">
      <c r="A49" t="s">
        <v>49</v>
      </c>
      <c r="B49">
        <v>31</v>
      </c>
      <c r="C49">
        <v>22</v>
      </c>
      <c r="D49" s="1">
        <f t="shared" si="0"/>
        <v>0.71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2001-03-16T22:45:06Z</cp:lastPrinted>
  <dcterms:created xsi:type="dcterms:W3CDTF">2000-12-21T23:48:54Z</dcterms:created>
  <dcterms:modified xsi:type="dcterms:W3CDTF">2008-05-18T21:51:49Z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